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sheets>
    <sheet xmlns:r="http://schemas.openxmlformats.org/officeDocument/2006/relationships" name="AI Score Summary" sheetId="1" state="visible" r:id="rId1"/>
    <sheet xmlns:r="http://schemas.openxmlformats.org/officeDocument/2006/relationships" name="stock master list" sheetId="2" state="visible" r:id="rId2"/>
    <sheet xmlns:r="http://schemas.openxmlformats.org/officeDocument/2006/relationships" name="weekly ranking image" sheetId="3" state="visible" r:id="rId3"/>
    <sheet xmlns:r="http://schemas.openxmlformats.org/officeDocument/2006/relationships" name="YTD Ranking Image" sheetId="4" state="visible" r:id="rId4"/>
    <sheet xmlns:r="http://schemas.openxmlformats.org/officeDocument/2006/relationships" name="Sheet4" sheetId="5" state="visible" r:id="rId5"/>
    <sheet xmlns:r="http://schemas.openxmlformats.org/officeDocument/2006/relationships" name="Sheet6" sheetId="6" state="visible" r:id="rId6"/>
  </sheets>
  <definedNames/>
  <calcPr calcId="124519" fullCalcOnLoad="1"/>
</workbook>
</file>

<file path=xl/styles.xml><?xml version="1.0" encoding="utf-8"?>
<styleSheet xmlns="http://schemas.openxmlformats.org/spreadsheetml/2006/main">
  <numFmts count="2">
    <numFmt numFmtId="164" formatCode="yyyy/mm/dd"/>
    <numFmt numFmtId="165" formatCode="yyyy/m/d"/>
  </numFmts>
  <fonts count="16">
    <font>
      <name val="Arial"/>
      <color rgb="FF000000"/>
      <sz val="10"/>
      <scheme val="minor"/>
    </font>
    <font>
      <name val="Arial"/>
      <color theme="1"/>
      <scheme val="minor"/>
    </font>
    <font>
      <color rgb="FF0000FF"/>
      <u val="single"/>
    </font>
    <font>
      <color rgb="FF0000FF"/>
      <u val="single"/>
    </font>
    <font>
      <color rgb="FF0000FF"/>
      <u val="single"/>
    </font>
    <font>
      <name val="Arial"/>
      <color rgb="FF000000"/>
    </font>
    <font>
      <name val="Arial"/>
      <color theme="1"/>
    </font>
    <font>
      <name val="Arial"/>
      <color rgb="FF0000FF"/>
      <u val="single"/>
    </font>
    <font>
      <name val="Arial"/>
      <color rgb="FF1155CC"/>
      <u val="single"/>
    </font>
    <font>
      <name val="Arial"/>
      <b val="1"/>
      <color theme="1"/>
      <scheme val="minor"/>
    </font>
    <font>
      <name val="Arial"/>
      <b val="1"/>
      <color theme="1"/>
    </font>
    <font>
      <name val="Arial"/>
      <color rgb="FF1155CC"/>
      <u val="single"/>
    </font>
    <font>
      <b val="1"/>
      <color rgb="00FFFFFF"/>
      <sz val="11"/>
    </font>
    <font>
      <sz val="10"/>
    </font>
    <font>
      <b val="1"/>
    </font>
    <font>
      <b val="1"/>
      <sz val="11"/>
    </font>
  </fonts>
  <fills count="9">
    <fill>
      <patternFill/>
    </fill>
    <fill>
      <patternFill patternType="lightGray"/>
    </fill>
    <fill>
      <patternFill patternType="solid">
        <fgColor rgb="FFFF0000"/>
        <bgColor rgb="FFFF0000"/>
      </patternFill>
    </fill>
    <fill>
      <patternFill patternType="solid">
        <fgColor rgb="FFFFFFFF"/>
        <bgColor rgb="FFFFFFFF"/>
      </patternFill>
    </fill>
    <fill>
      <patternFill patternType="solid">
        <fgColor rgb="004472C4"/>
        <bgColor rgb="004472C4"/>
      </patternFill>
    </fill>
    <fill>
      <patternFill patternType="solid">
        <fgColor rgb="00FFFF00"/>
        <bgColor rgb="00FFFF00"/>
      </patternFill>
    </fill>
    <fill>
      <patternFill patternType="solid">
        <fgColor rgb="0092D050"/>
        <bgColor rgb="0092D050"/>
      </patternFill>
    </fill>
    <fill>
      <patternFill patternType="solid">
        <fgColor rgb="00FFC000"/>
        <bgColor rgb="00FFC000"/>
      </patternFill>
    </fill>
    <fill>
      <patternFill patternType="solid">
        <fgColor rgb="00FF6B6B"/>
        <bgColor rgb="00FF6B6B"/>
      </patternFill>
    </fill>
  </fills>
  <borders count="2">
    <border/>
    <border>
      <left style="thin"/>
      <right style="thin"/>
      <top style="thin"/>
      <bottom style="thin"/>
    </border>
  </borders>
  <cellStyleXfs count="1">
    <xf numFmtId="0" fontId="0" fillId="0" borderId="0"/>
  </cellStyleXfs>
  <cellXfs count="58">
    <xf numFmtId="0" fontId="0" fillId="0" borderId="0" applyAlignment="1" pivotButton="0" quotePrefix="0" xfId="0">
      <alignment vertical="bottom"/>
    </xf>
    <xf numFmtId="0" fontId="1" fillId="0" borderId="0" pivotButton="0" quotePrefix="0" xfId="0"/>
    <xf numFmtId="10" fontId="1" fillId="0" borderId="0" pivotButton="0" quotePrefix="0" xfId="0"/>
    <xf numFmtId="10" fontId="1" fillId="0" borderId="0" pivotButton="0" quotePrefix="0" xfId="0"/>
    <xf numFmtId="0" fontId="2" fillId="0" borderId="0" pivotButton="0" quotePrefix="0" xfId="0"/>
    <xf numFmtId="0" fontId="3" fillId="0" borderId="0" pivotButton="0" quotePrefix="0" xfId="0"/>
    <xf numFmtId="164" fontId="1" fillId="0" borderId="0" pivotButton="0" quotePrefix="0" xfId="0"/>
    <xf numFmtId="165" fontId="1" fillId="0" borderId="0" pivotButton="0" quotePrefix="0" xfId="0"/>
    <xf numFmtId="0" fontId="1" fillId="0" borderId="0" pivotButton="0" quotePrefix="0" xfId="0"/>
    <xf numFmtId="0" fontId="1" fillId="2" borderId="0" pivotButton="0" quotePrefix="0" xfId="0"/>
    <xf numFmtId="0" fontId="4" fillId="2" borderId="0" pivotButton="0" quotePrefix="0" xfId="0"/>
    <xf numFmtId="164" fontId="1" fillId="2" borderId="0" pivotButton="0" quotePrefix="0" xfId="0"/>
    <xf numFmtId="10" fontId="1" fillId="2" borderId="0" pivotButton="0" quotePrefix="0" xfId="0"/>
    <xf numFmtId="10" fontId="1" fillId="2" borderId="0" pivotButton="0" quotePrefix="0" xfId="0"/>
    <xf numFmtId="0" fontId="1" fillId="2" borderId="0" pivotButton="0" quotePrefix="0" xfId="0"/>
    <xf numFmtId="164" fontId="5" fillId="0" borderId="0" pivotButton="0" quotePrefix="0" xfId="0"/>
    <xf numFmtId="0" fontId="1" fillId="3" borderId="0" pivotButton="0" quotePrefix="0" xfId="0"/>
    <xf numFmtId="0" fontId="6" fillId="0" borderId="0" applyAlignment="1" pivotButton="0" quotePrefix="0" xfId="0">
      <alignment vertical="bottom"/>
    </xf>
    <xf numFmtId="10" fontId="6" fillId="0" borderId="0" applyAlignment="1" pivotButton="0" quotePrefix="0" xfId="0">
      <alignment vertical="bottom"/>
    </xf>
    <xf numFmtId="0" fontId="7" fillId="0" borderId="0" applyAlignment="1" pivotButton="0" quotePrefix="0" xfId="0">
      <alignment vertical="bottom"/>
    </xf>
    <xf numFmtId="0" fontId="8" fillId="0" borderId="0" applyAlignment="1" pivotButton="0" quotePrefix="0" xfId="0">
      <alignment vertical="bottom"/>
    </xf>
    <xf numFmtId="0" fontId="1" fillId="0" borderId="0" pivotButton="0" quotePrefix="0" xfId="0"/>
    <xf numFmtId="0" fontId="1" fillId="0" borderId="0" pivotButton="0" quotePrefix="0" xfId="0"/>
    <xf numFmtId="0" fontId="1" fillId="0" borderId="0" pivotButton="0" quotePrefix="0" xfId="0"/>
    <xf numFmtId="10" fontId="6" fillId="0" borderId="0" applyAlignment="1" pivotButton="0" quotePrefix="0" xfId="0">
      <alignment horizontal="right" vertical="bottom"/>
    </xf>
    <xf numFmtId="0" fontId="6" fillId="0" borderId="0" applyAlignment="1" pivotButton="0" quotePrefix="0" xfId="0">
      <alignment vertical="bottom"/>
    </xf>
    <xf numFmtId="10" fontId="1" fillId="0" borderId="0" pivotButton="0" quotePrefix="0" xfId="0"/>
    <xf numFmtId="10" fontId="6" fillId="0" borderId="0" applyAlignment="1" pivotButton="0" quotePrefix="0" xfId="0">
      <alignment vertical="bottom"/>
    </xf>
    <xf numFmtId="0" fontId="6" fillId="0" borderId="0" applyAlignment="1" pivotButton="0" quotePrefix="0" xfId="0">
      <alignment vertical="bottom"/>
    </xf>
    <xf numFmtId="0" fontId="9" fillId="3" borderId="0" applyAlignment="1" pivotButton="0" quotePrefix="0" xfId="0">
      <alignment horizontal="center"/>
    </xf>
    <xf numFmtId="0" fontId="9" fillId="0" borderId="0" applyAlignment="1" pivotButton="0" quotePrefix="0" xfId="0">
      <alignment horizontal="center"/>
    </xf>
    <xf numFmtId="0" fontId="9" fillId="0" borderId="0" applyAlignment="1" pivotButton="0" quotePrefix="0" xfId="0">
      <alignment horizontal="center"/>
    </xf>
    <xf numFmtId="0" fontId="10" fillId="0" borderId="0" applyAlignment="1" pivotButton="0" quotePrefix="0" xfId="0">
      <alignment horizontal="center" vertical="bottom"/>
    </xf>
    <xf numFmtId="0" fontId="1" fillId="3" borderId="0" applyAlignment="1" pivotButton="0" quotePrefix="0" xfId="0">
      <alignment horizontal="center"/>
    </xf>
    <xf numFmtId="0" fontId="1" fillId="3" borderId="0" applyAlignment="1" pivotButton="0" quotePrefix="0" xfId="0">
      <alignment horizontal="center"/>
    </xf>
    <xf numFmtId="0" fontId="11" fillId="0" borderId="0" applyAlignment="1" pivotButton="0" quotePrefix="0" xfId="0">
      <alignment vertical="bottom"/>
    </xf>
    <xf numFmtId="10" fontId="6" fillId="0" borderId="0" applyAlignment="1" pivotButton="0" quotePrefix="0" xfId="0">
      <alignment horizontal="right" vertical="bottom"/>
    </xf>
    <xf numFmtId="0" fontId="6" fillId="0" borderId="0" applyAlignment="1" pivotButton="0" quotePrefix="0" xfId="0">
      <alignment vertical="bottom"/>
    </xf>
    <xf numFmtId="164" fontId="1" fillId="0" borderId="0" pivotButton="0" quotePrefix="0" xfId="0"/>
    <xf numFmtId="165" fontId="1" fillId="0" borderId="0" pivotButton="0" quotePrefix="0" xfId="0"/>
    <xf numFmtId="164" fontId="1" fillId="0" borderId="0" pivotButton="0" quotePrefix="0" xfId="0"/>
    <xf numFmtId="0" fontId="0" fillId="0" borderId="0" pivotButton="0" quotePrefix="0" xfId="0"/>
    <xf numFmtId="0" fontId="12" fillId="4" borderId="1" applyAlignment="1" pivotButton="0" quotePrefix="0" xfId="0">
      <alignment horizontal="center" wrapText="1"/>
    </xf>
    <xf numFmtId="0" fontId="0" fillId="0" borderId="1" applyAlignment="1" pivotButton="0" quotePrefix="0" xfId="0">
      <alignment horizontal="center"/>
    </xf>
    <xf numFmtId="0" fontId="14" fillId="0" borderId="1" pivotButton="0" quotePrefix="0" xfId="0"/>
    <xf numFmtId="0" fontId="0" fillId="0" borderId="1" pivotButton="0" quotePrefix="0" xfId="0"/>
    <xf numFmtId="0" fontId="15" fillId="6" borderId="1" applyAlignment="1" pivotButton="0" quotePrefix="0" xfId="0">
      <alignment horizontal="center"/>
    </xf>
    <xf numFmtId="0" fontId="0" fillId="6" borderId="1" applyAlignment="1" pivotButton="0" quotePrefix="0" xfId="0">
      <alignment horizontal="center"/>
    </xf>
    <xf numFmtId="0" fontId="0" fillId="7" borderId="1" applyAlignment="1" pivotButton="0" quotePrefix="0" xfId="0">
      <alignment horizontal="center"/>
    </xf>
    <xf numFmtId="10" fontId="0" fillId="0" borderId="1" applyAlignment="1" pivotButton="0" quotePrefix="0" xfId="0">
      <alignment horizontal="center"/>
    </xf>
    <xf numFmtId="0" fontId="0" fillId="0" borderId="1" applyAlignment="1" pivotButton="0" quotePrefix="0" xfId="0">
      <alignment wrapText="1"/>
    </xf>
    <xf numFmtId="0" fontId="0" fillId="8" borderId="1" applyAlignment="1" pivotButton="0" quotePrefix="0" xfId="0">
      <alignment horizontal="center"/>
    </xf>
    <xf numFmtId="0" fontId="0" fillId="5" borderId="1" applyAlignment="1" pivotButton="0" quotePrefix="0" xfId="0">
      <alignment horizontal="center"/>
    </xf>
    <xf numFmtId="0" fontId="15" fillId="5" borderId="1" applyAlignment="1" pivotButton="0" quotePrefix="0" xfId="0">
      <alignment horizontal="center"/>
    </xf>
    <xf numFmtId="0" fontId="15" fillId="7" borderId="1" applyAlignment="1" pivotButton="0" quotePrefix="0" xfId="0">
      <alignment horizontal="center"/>
    </xf>
    <xf numFmtId="0" fontId="15" fillId="8" borderId="1" applyAlignment="1" pivotButton="0" quotePrefix="0" xfId="0">
      <alignment horizontal="center"/>
    </xf>
    <xf numFmtId="0" fontId="13" fillId="5" borderId="1" applyAlignment="1" pivotButton="0" quotePrefix="0" xfId="0">
      <alignment horizontal="center"/>
    </xf>
    <xf numFmtId="0" fontId="13" fillId="5" borderId="1" applyAlignment="1" pivotButton="0" quotePrefix="0" xfId="0">
      <alignment wrapText="1"/>
    </xf>
  </cellXfs>
  <cellStyles count="1">
    <cellStyle name="Normal" xfId="0" builtinId="0"/>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styles" Target="styles.xml" Id="rId7"/><Relationship Type="http://schemas.openxmlformats.org/officeDocument/2006/relationships/theme" Target="theme/theme1.xml" Id="rId8"/></Relationships>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2.xml.rels><Relationships xmlns="http://schemas.openxmlformats.org/package/2006/relationships"><Relationship Type="http://schemas.openxmlformats.org/officeDocument/2006/relationships/hyperlink" Target="https://x.com/LionelHutz_Esq/status/1817837593326715216" TargetMode="External" Id="rId1"/><Relationship Type="http://schemas.openxmlformats.org/officeDocument/2006/relationships/hyperlink" Target="https://x.com/LionelHutz_Esq/status/1817837593326715216" TargetMode="External" Id="rId2"/><Relationship Type="http://schemas.openxmlformats.org/officeDocument/2006/relationships/hyperlink" Target="https://x.com/aleabitoreddit/status/2007758407948788162" TargetMode="External" Id="rId3"/><Relationship Type="http://schemas.openxmlformats.org/officeDocument/2006/relationships/hyperlink" Target="https://x.com/aleabitoreddit/status/2007758407948788162" TargetMode="External" Id="rId4"/><Relationship Type="http://schemas.openxmlformats.org/officeDocument/2006/relationships/hyperlink" Target="https://x.com/YieldCurveBalI/status/1906717314575397222" TargetMode="External" Id="rId5"/><Relationship Type="http://schemas.openxmlformats.org/officeDocument/2006/relationships/hyperlink" Target="https://x.com/YieldCurveBalI/status/1906717314575397222" TargetMode="External" Id="rId6"/><Relationship Type="http://schemas.openxmlformats.org/officeDocument/2006/relationships/hyperlink" Target="https://x.com/aleabitoreddit" TargetMode="External" Id="rId7"/><Relationship Type="http://schemas.openxmlformats.org/officeDocument/2006/relationships/hyperlink" Target="https://x.com/BankofVol/status/2009707687693451596" TargetMode="External" Id="rId8"/><Relationship Type="http://schemas.openxmlformats.org/officeDocument/2006/relationships/hyperlink" Target="https://x.com/Venu_7_/status/1953557794030072164" TargetMode="External" Id="rId9"/><Relationship Type="http://schemas.openxmlformats.org/officeDocument/2006/relationships/hyperlink" Target="https://x.com/Venu_7_/status/1953557794030072164" TargetMode="External" Id="rId10"/><Relationship Type="http://schemas.openxmlformats.org/officeDocument/2006/relationships/hyperlink" Target="https://x.com/crux_capital_" TargetMode="External" Id="rId11"/><Relationship Type="http://schemas.openxmlformats.org/officeDocument/2006/relationships/hyperlink" Target="https://x.com/Analytica_X/status/1987496343699370285" TargetMode="External" Id="rId12"/><Relationship Type="http://schemas.openxmlformats.org/officeDocument/2006/relationships/hyperlink" Target="https://x.com/Analytica_X/status/1987496343699370285" TargetMode="External" Id="rId13"/><Relationship Type="http://schemas.openxmlformats.org/officeDocument/2006/relationships/hyperlink" Target="https://x.com/adudetrading" TargetMode="External" Id="rId14"/><Relationship Type="http://schemas.openxmlformats.org/officeDocument/2006/relationships/hyperlink" Target="https://x.com/Alexsei88" TargetMode="External" Id="rId15"/><Relationship Type="http://schemas.openxmlformats.org/officeDocument/2006/relationships/hyperlink" Target="https://x.com/Alexsei88" TargetMode="External" Id="rId16"/><Relationship Type="http://schemas.openxmlformats.org/officeDocument/2006/relationships/hyperlink" Target="https://x.com/DekmarTrades/status/1970455842924437675" TargetMode="External" Id="rId17"/><Relationship Type="http://schemas.openxmlformats.org/officeDocument/2006/relationships/hyperlink" Target="https://x.com/DekmarTrades/status/1970455842924437675" TargetMode="External" Id="rId18"/><Relationship Type="http://schemas.openxmlformats.org/officeDocument/2006/relationships/hyperlink" Target="https://x.com/DekmarTrades/status/1970455842924437675" TargetMode="External" Id="rId19"/><Relationship Type="http://schemas.openxmlformats.org/officeDocument/2006/relationships/hyperlink" Target="https://x.com/Clayhams1/status/1978636447025705213" TargetMode="External" Id="rId20"/><Relationship Type="http://schemas.openxmlformats.org/officeDocument/2006/relationships/hyperlink" Target="https://x.com/Clayhams1/status/1978636447025705213" TargetMode="External" Id="rId21"/><Relationship Type="http://schemas.openxmlformats.org/officeDocument/2006/relationships/hyperlink" Target="https://x.com/DeNebulord/status/2013008329027502438" TargetMode="External" Id="rId22"/><Relationship Type="http://schemas.openxmlformats.org/officeDocument/2006/relationships/hyperlink" Target="https://x.com/DeNebulord/status/2013008329027502438" TargetMode="External" Id="rId23"/><Relationship Type="http://schemas.openxmlformats.org/officeDocument/2006/relationships/hyperlink" Target="https://x.com/TheValueist/status/1953608927293153628" TargetMode="External" Id="rId24"/><Relationship Type="http://schemas.openxmlformats.org/officeDocument/2006/relationships/hyperlink" Target="https://x.com/TheValueist/status/1953608927293153628" TargetMode="External" Id="rId25"/><Relationship Type="http://schemas.openxmlformats.org/officeDocument/2006/relationships/hyperlink" Target="https://x.com/TheValueist/status/1953608927293153628" TargetMode="External" Id="rId26"/><Relationship Type="http://schemas.openxmlformats.org/officeDocument/2006/relationships/hyperlink" Target="https://x.com/TheValueist/status/2021608497046036807" TargetMode="External" Id="rId27"/><Relationship Type="http://schemas.openxmlformats.org/officeDocument/2006/relationships/hyperlink" Target="https://x.com/Minnvestor/status/1851698973821513794" TargetMode="External" Id="rId28"/><Relationship Type="http://schemas.openxmlformats.org/officeDocument/2006/relationships/hyperlink" Target="https://x.com/Minnvestor/status/1851698973821513794" TargetMode="External" Id="rId29"/><Relationship Type="http://schemas.openxmlformats.org/officeDocument/2006/relationships/hyperlink" Target="https://x.com/Share_Talk" TargetMode="External" Id="rId30"/><Relationship Type="http://schemas.openxmlformats.org/officeDocument/2006/relationships/hyperlink" Target="https://x.com/Analytica_X/status/1949458210932326732" TargetMode="External" Id="rId31"/><Relationship Type="http://schemas.openxmlformats.org/officeDocument/2006/relationships/hyperlink" Target="https://x.com/Analytica_X/status/1949458210932326732" TargetMode="External" Id="rId32"/><Relationship Type="http://schemas.openxmlformats.org/officeDocument/2006/relationships/hyperlink" Target="https://x.com/Thebullwhisper" TargetMode="External" Id="rId33"/><Relationship Type="http://schemas.openxmlformats.org/officeDocument/2006/relationships/hyperlink" Target="https://x.com/TentyTheToitle" TargetMode="External" Id="rId34"/><Relationship Type="http://schemas.openxmlformats.org/officeDocument/2006/relationships/hyperlink" Target="https://x.com/TentyTheToitle/status/1898062935542444477" TargetMode="External" Id="rId35"/><Relationship Type="http://schemas.openxmlformats.org/officeDocument/2006/relationships/hyperlink" Target="https://x.com/RobertMarcin" TargetMode="External" Id="rId36"/><Relationship Type="http://schemas.openxmlformats.org/officeDocument/2006/relationships/hyperlink" Target="https://x.com/itech_analyst/status/1838611381639172150" TargetMode="External" Id="rId37"/><Relationship Type="http://schemas.openxmlformats.org/officeDocument/2006/relationships/hyperlink" Target="https://x.com/itech_analyst/status/1838611381639172150" TargetMode="External" Id="rId38"/><Relationship Type="http://schemas.openxmlformats.org/officeDocument/2006/relationships/hyperlink" Target="https://x.com/TheValueist/status/2009687551272210617" TargetMode="External" Id="rId39"/><Relationship Type="http://schemas.openxmlformats.org/officeDocument/2006/relationships/hyperlink" Target="https://x.com/TheValueist/status/2009687551272210617" TargetMode="External" Id="rId40"/><Relationship Type="http://schemas.openxmlformats.org/officeDocument/2006/relationships/hyperlink" Target="https://x.com/SunvMikey" TargetMode="External" Id="rId41"/><Relationship Type="http://schemas.openxmlformats.org/officeDocument/2006/relationships/hyperlink" Target="https://x.com/SunvMikey/status/1995505692267167986" TargetMode="External" Id="rId42"/><Relationship Type="http://schemas.openxmlformats.org/officeDocument/2006/relationships/hyperlink" Target="https://x.com/SunvMikey" TargetMode="External" Id="rId43"/><Relationship Type="http://schemas.openxmlformats.org/officeDocument/2006/relationships/hyperlink" Target="https://x.com/SunvMikey/status/1995505692267167986" TargetMode="External" Id="rId44"/><Relationship Type="http://schemas.openxmlformats.org/officeDocument/2006/relationships/hyperlink" Target="https://x.com/USAC_Bull/status/1979005366370214320" TargetMode="External" Id="rId45"/><Relationship Type="http://schemas.openxmlformats.org/officeDocument/2006/relationships/hyperlink" Target="https://x.com/USAC_Bull/status/1977019993444565347" TargetMode="External" Id="rId46"/><Relationship Type="http://schemas.openxmlformats.org/officeDocument/2006/relationships/hyperlink" Target="https://x.com/USAC_Bull/status/1979005366370214320" TargetMode="External" Id="rId47"/><Relationship Type="http://schemas.openxmlformats.org/officeDocument/2006/relationships/hyperlink" Target="https://x.com/antarcticapital/status/1879172178832208117" TargetMode="External" Id="rId48"/><Relationship Type="http://schemas.openxmlformats.org/officeDocument/2006/relationships/hyperlink" Target="https://x.com/antarcticapital/status/1879172178832208117" TargetMode="External" Id="rId49"/><Relationship Type="http://schemas.openxmlformats.org/officeDocument/2006/relationships/hyperlink" Target="https://x.com/pennycheck" TargetMode="External" Id="rId50"/><Relationship Type="http://schemas.openxmlformats.org/officeDocument/2006/relationships/hyperlink" Target="https://x.com/thehustlebrosyt" TargetMode="External" Id="rId51"/><Relationship Type="http://schemas.openxmlformats.org/officeDocument/2006/relationships/hyperlink" Target="https://x.com/thehustlebrosyt/status/1961530309767282712" TargetMode="External" Id="rId52"/><Relationship Type="http://schemas.openxmlformats.org/officeDocument/2006/relationships/hyperlink" Target="https://x.com/fundmyfund" TargetMode="External" Id="rId53"/><Relationship Type="http://schemas.openxmlformats.org/officeDocument/2006/relationships/hyperlink" Target="https://x.com/fundmyfund/status/2012854663607898179?s=20" TargetMode="External" Id="rId54"/><Relationship Type="http://schemas.openxmlformats.org/officeDocument/2006/relationships/hyperlink" Target="https://x.com/crux_capital_" TargetMode="External" Id="rId55"/><Relationship Type="http://schemas.openxmlformats.org/officeDocument/2006/relationships/hyperlink" Target="https://x.com/i/status/1977731510980809135" TargetMode="External" Id="rId56"/><Relationship Type="http://schemas.openxmlformats.org/officeDocument/2006/relationships/hyperlink" Target="https://x.com/BlackPantherCap" TargetMode="External" Id="rId57"/><Relationship Type="http://schemas.openxmlformats.org/officeDocument/2006/relationships/hyperlink" Target="https://x.com/crux_capital_/status/2010900483146420558?s=20" TargetMode="External" Id="rId58"/><Relationship Type="http://schemas.openxmlformats.org/officeDocument/2006/relationships/hyperlink" Target="https://x.com/noa__ii2/status/1998803898673529294" TargetMode="External" Id="rId59"/><Relationship Type="http://schemas.openxmlformats.org/officeDocument/2006/relationships/hyperlink" Target="https://x.com/noa__ii2/status/1998803898673529294" TargetMode="External" Id="rId60"/><Relationship Type="http://schemas.openxmlformats.org/officeDocument/2006/relationships/hyperlink" Target="https://x.com/noa__ii2/status/1998803898673529294" TargetMode="External" Id="rId61"/><Relationship Type="http://schemas.openxmlformats.org/officeDocument/2006/relationships/hyperlink" Target="https://x.com/ascharya108/status/1970510054848606470" TargetMode="External" Id="rId62"/><Relationship Type="http://schemas.openxmlformats.org/officeDocument/2006/relationships/hyperlink" Target="https://x.com/ascharya108/status/1970510054848606470" TargetMode="External" Id="rId63"/><Relationship Type="http://schemas.openxmlformats.org/officeDocument/2006/relationships/hyperlink" Target="https://x.com/BlackScholesMan/status/2016537331281403939" TargetMode="External" Id="rId64"/><Relationship Type="http://schemas.openxmlformats.org/officeDocument/2006/relationships/hyperlink" Target="https://x.com/MNTonX/status/1978894285471645995" TargetMode="External" Id="rId65"/><Relationship Type="http://schemas.openxmlformats.org/officeDocument/2006/relationships/hyperlink" Target="https://x.com/MNTonX/status/1978894285471645995" TargetMode="External" Id="rId66"/><Relationship Type="http://schemas.openxmlformats.org/officeDocument/2006/relationships/hyperlink" Target="https://x.com/tradergokux/status/1988721943907123544" TargetMode="External" Id="rId67"/><Relationship Type="http://schemas.openxmlformats.org/officeDocument/2006/relationships/hyperlink" Target="https://x.com/tradergokux/status/1988721943907123544" TargetMode="External" Id="rId68"/><Relationship Type="http://schemas.openxmlformats.org/officeDocument/2006/relationships/hyperlink" Target="https://x.com/BlackScholesMan/status/1966111973269225858" TargetMode="External" Id="rId69"/><Relationship Type="http://schemas.openxmlformats.org/officeDocument/2006/relationships/hyperlink" Target="https://x.com/BlackScholesMan/status/1966111973269225858" TargetMode="External" Id="rId70"/><Relationship Type="http://schemas.openxmlformats.org/officeDocument/2006/relationships/hyperlink" Target="https://x.com/pennycheck/status/2013640290339299701" TargetMode="External" Id="rId71"/><Relationship Type="http://schemas.openxmlformats.org/officeDocument/2006/relationships/hyperlink" Target="https://x.com/pennycheck/status/2013640290339299701" TargetMode="External" Id="rId72"/><Relationship Type="http://schemas.openxmlformats.org/officeDocument/2006/relationships/hyperlink" Target="https://x.com/jonbma/status/1927869504006099006" TargetMode="External" Id="rId73"/><Relationship Type="http://schemas.openxmlformats.org/officeDocument/2006/relationships/hyperlink" Target="https://x.com/jonbma/status/1927869504006099006" TargetMode="External" Id="rId74"/><Relationship Type="http://schemas.openxmlformats.org/officeDocument/2006/relationships/hyperlink" Target="https://x.com/PhyrexNi" TargetMode="External" Id="rId75"/><Relationship Type="http://schemas.openxmlformats.org/officeDocument/2006/relationships/hyperlink" Target="https://x.com/tamsa00700/status/1983715154044051927" TargetMode="External" Id="rId76"/><Relationship Type="http://schemas.openxmlformats.org/officeDocument/2006/relationships/hyperlink" Target="https://x.com/tamsa00700/status/1983715154044051927" TargetMode="External" Id="rId77"/><Relationship Type="http://schemas.openxmlformats.org/officeDocument/2006/relationships/hyperlink" Target="https://x.com/MapleLeafCap/status/2016175070721544421" TargetMode="External" Id="rId78"/><Relationship Type="http://schemas.openxmlformats.org/officeDocument/2006/relationships/hyperlink" Target="https://x.com/MapleLeafCap/status/2016175070721544421" TargetMode="External" Id="rId79"/><Relationship Type="http://schemas.openxmlformats.org/officeDocument/2006/relationships/hyperlink" Target="https://x.com/YeahDrDave" TargetMode="External" Id="rId80"/><Relationship Type="http://schemas.openxmlformats.org/officeDocument/2006/relationships/hyperlink" Target="https://x.com/YeahDrDave/status/2000320348517195830" TargetMode="External" Id="rId81"/><Relationship Type="http://schemas.openxmlformats.org/officeDocument/2006/relationships/hyperlink" Target="https://x.com/Reformed_Trader/status/1999161301524709583" TargetMode="External" Id="rId82"/><Relationship Type="http://schemas.openxmlformats.org/officeDocument/2006/relationships/hyperlink" Target="https://x.com/Reformed_Trader/status/1999161301524709583" TargetMode="External" Id="rId83"/><Relationship Type="http://schemas.openxmlformats.org/officeDocument/2006/relationships/hyperlink" Target="https://x.com/equityclimb1" TargetMode="External" Id="rId84"/><Relationship Type="http://schemas.openxmlformats.org/officeDocument/2006/relationships/hyperlink" Target="https://x.com/equityclimb1/status/1998526831163760678" TargetMode="External" Id="rId85"/><Relationship Type="http://schemas.openxmlformats.org/officeDocument/2006/relationships/hyperlink" Target="https://x.com/TheValueist/status/2021990216278368345" TargetMode="External" Id="rId86"/><Relationship Type="http://schemas.openxmlformats.org/officeDocument/2006/relationships/hyperlink" Target="https://x.com/TheValueist/status/2021990216278368345" TargetMode="External" Id="rId87"/><Relationship Type="http://schemas.openxmlformats.org/officeDocument/2006/relationships/hyperlink" Target="https://x.com/danielnewmanUV" TargetMode="External" Id="rId88"/><Relationship Type="http://schemas.openxmlformats.org/officeDocument/2006/relationships/hyperlink" Target="https://x.com/danielnewmanUV/status/1965183673210409311" TargetMode="External" Id="rId89"/><Relationship Type="http://schemas.openxmlformats.org/officeDocument/2006/relationships/hyperlink" Target="https://x.com/danielnewmanUV" TargetMode="External" Id="rId90"/><Relationship Type="http://schemas.openxmlformats.org/officeDocument/2006/relationships/hyperlink" Target="https://x.com/daniel_koss/status/1988279910863905044" TargetMode="External" Id="rId91"/><Relationship Type="http://schemas.openxmlformats.org/officeDocument/2006/relationships/hyperlink" Target="https://x.com/Junior_Stocks/status/1902793982431883698" TargetMode="External" Id="rId92"/><Relationship Type="http://schemas.openxmlformats.org/officeDocument/2006/relationships/hyperlink" Target="https://x.com/Junior_Stocks/status/1902793982431883698" TargetMode="External" Id="rId93"/><Relationship Type="http://schemas.openxmlformats.org/officeDocument/2006/relationships/hyperlink" Target="https://x.com/USAC_Bull" TargetMode="External" Id="rId94"/><Relationship Type="http://schemas.openxmlformats.org/officeDocument/2006/relationships/hyperlink" Target="https://x.com/bdinvestingg/status/1892574906799534286" TargetMode="External" Id="rId95"/><Relationship Type="http://schemas.openxmlformats.org/officeDocument/2006/relationships/hyperlink" Target="https://x.com/bdinvestingg/status/1892574906799534286" TargetMode="External" Id="rId96"/><Relationship Type="http://schemas.openxmlformats.org/officeDocument/2006/relationships/hyperlink" Target="https://x.com/AIStockSavvy" TargetMode="External" Id="rId97"/><Relationship Type="http://schemas.openxmlformats.org/officeDocument/2006/relationships/hyperlink" Target="https://x.com/Maizi_Alpha/status/2010725017592672674" TargetMode="External" Id="rId98"/><Relationship Type="http://schemas.openxmlformats.org/officeDocument/2006/relationships/hyperlink" Target="https://x.com/BrokenToysInv" TargetMode="External" Id="rId99"/><Relationship Type="http://schemas.openxmlformats.org/officeDocument/2006/relationships/hyperlink" Target="https://x.com/BrokenToysInv/status/2011048583013794012" TargetMode="External" Id="rId100"/><Relationship Type="http://schemas.openxmlformats.org/officeDocument/2006/relationships/hyperlink" Target="https://x.com/BrokenToysInv/status/2011048583013794012" TargetMode="External" Id="rId101"/><Relationship Type="http://schemas.openxmlformats.org/officeDocument/2006/relationships/hyperlink" Target="https://x.com/P14Capital" TargetMode="External" Id="rId102"/><Relationship Type="http://schemas.openxmlformats.org/officeDocument/2006/relationships/hyperlink" Target="https://x.com/CorleoneDon77/status/1866616257140728040" TargetMode="External" Id="rId103"/><Relationship Type="http://schemas.openxmlformats.org/officeDocument/2006/relationships/hyperlink" Target="https://x.com/CorleoneDon77/status/1866616257140728040" TargetMode="External" Id="rId104"/><Relationship Type="http://schemas.openxmlformats.org/officeDocument/2006/relationships/hyperlink" Target="https://x.com/CorleoneDon77" TargetMode="External" Id="rId105"/><Relationship Type="http://schemas.openxmlformats.org/officeDocument/2006/relationships/hyperlink" Target="https://x.com/probzunknown/status/1977759348211233204" TargetMode="External" Id="rId106"/><Relationship Type="http://schemas.openxmlformats.org/officeDocument/2006/relationships/hyperlink" Target="https://x.com/probzunknown/status/1977759348211233204" TargetMode="External" Id="rId107"/><Relationship Type="http://schemas.openxmlformats.org/officeDocument/2006/relationships/hyperlink" Target="https://x.com/probzunknown" TargetMode="External" Id="rId108"/><Relationship Type="http://schemas.openxmlformats.org/officeDocument/2006/relationships/hyperlink" Target="https://x.com/StockRocket1/status/1930289136713224365" TargetMode="External" Id="rId109"/><Relationship Type="http://schemas.openxmlformats.org/officeDocument/2006/relationships/hyperlink" Target="https://x.com/StockRocket1/status/1930289136713224365" TargetMode="External" Id="rId110"/><Relationship Type="http://schemas.openxmlformats.org/officeDocument/2006/relationships/hyperlink" Target="https://x.com/StockRocket1/status/1930289136713224365" TargetMode="External" Id="rId111"/><Relationship Type="http://schemas.openxmlformats.org/officeDocument/2006/relationships/hyperlink" Target="https://x.com/blondesnmoney" TargetMode="External" Id="rId112"/><Relationship Type="http://schemas.openxmlformats.org/officeDocument/2006/relationships/hyperlink" Target="https://x.com/blondesnmoney/status/1886486969489711365" TargetMode="External" Id="rId113"/><Relationship Type="http://schemas.openxmlformats.org/officeDocument/2006/relationships/hyperlink" Target="https://x.com/WilliamSirett/status/2010017061792006393" TargetMode="External" Id="rId114"/><Relationship Type="http://schemas.openxmlformats.org/officeDocument/2006/relationships/hyperlink" Target="https://x.com/invest4_life" TargetMode="External" Id="rId115"/><Relationship Type="http://schemas.openxmlformats.org/officeDocument/2006/relationships/hyperlink" Target="https://x.com/invest4_life/status/1892570755616965017" TargetMode="External" Id="rId116"/><Relationship Type="http://schemas.openxmlformats.org/officeDocument/2006/relationships/hyperlink" Target="https://x.com/Speculator_io" TargetMode="External" Id="rId117"/><Relationship Type="http://schemas.openxmlformats.org/officeDocument/2006/relationships/hyperlink" Target="https://x.com/JaguarAnalytics" TargetMode="External" Id="rId118"/><Relationship Type="http://schemas.openxmlformats.org/officeDocument/2006/relationships/hyperlink" Target="https://x.com/JaguarAnalytics/status/1975896496487932008" TargetMode="External" Id="rId119"/><Relationship Type="http://schemas.openxmlformats.org/officeDocument/2006/relationships/hyperlink" Target="https://x.com/JSpitTrades" TargetMode="External" Id="rId120"/><Relationship Type="http://schemas.openxmlformats.org/officeDocument/2006/relationships/hyperlink" Target="https://x.com/AIStockSavvy/status/2010693419560014330" TargetMode="External" Id="rId121"/><Relationship Type="http://schemas.openxmlformats.org/officeDocument/2006/relationships/hyperlink" Target="https://x.com/MitchMartan98" TargetMode="External" Id="rId122"/><Relationship Type="http://schemas.openxmlformats.org/officeDocument/2006/relationships/hyperlink" Target="https://x.com/MitchMartan98/status/2009270400400683379" TargetMode="External" Id="rId123"/><Relationship Type="http://schemas.openxmlformats.org/officeDocument/2006/relationships/hyperlink" Target="https://x.com/MitchMartan98" TargetMode="External" Id="rId124"/><Relationship Type="http://schemas.openxmlformats.org/officeDocument/2006/relationships/hyperlink" Target="https://x.com/MitchMartan98/status/2009270400400683379" TargetMode="External" Id="rId125"/><Relationship Type="http://schemas.openxmlformats.org/officeDocument/2006/relationships/hyperlink" Target="https://x.com/KevinLMak/status/1796744049497403870" TargetMode="External" Id="rId126"/><Relationship Type="http://schemas.openxmlformats.org/officeDocument/2006/relationships/hyperlink" Target="https://x.com/KevinLMak/status/1796744049497403870" TargetMode="External" Id="rId127"/><Relationship Type="http://schemas.openxmlformats.org/officeDocument/2006/relationships/hyperlink" Target="https://x.com/ASTS_SpaceMob" TargetMode="External" Id="rId128"/><Relationship Type="http://schemas.openxmlformats.org/officeDocument/2006/relationships/hyperlink" Target="https://x.com/meeijer/status/1924935439846162818" TargetMode="External" Id="rId129"/><Relationship Type="http://schemas.openxmlformats.org/officeDocument/2006/relationships/hyperlink" Target="https://x.com/SpaceInvestor_D" TargetMode="External" Id="rId130"/><Relationship Type="http://schemas.openxmlformats.org/officeDocument/2006/relationships/hyperlink" Target="https://x.com/SpaceInvestor_D/status/1881780169985409520" TargetMode="External" Id="rId131"/><Relationship Type="http://schemas.openxmlformats.org/officeDocument/2006/relationships/hyperlink" Target="https://x.com/SpaceInvestor_D" TargetMode="External" Id="rId132"/><Relationship Type="http://schemas.openxmlformats.org/officeDocument/2006/relationships/hyperlink" Target="https://x.com/Maizi_Alpha/status/2010715449315782787" TargetMode="External" Id="rId133"/><Relationship Type="http://schemas.openxmlformats.org/officeDocument/2006/relationships/hyperlink" Target="https://x.com/EricTheUmpire/status/1907459216505266666" TargetMode="External" Id="rId134"/><Relationship Type="http://schemas.openxmlformats.org/officeDocument/2006/relationships/hyperlink" Target="https://x.com/EricTheUmpire/status/1907459216505266666" TargetMode="External" Id="rId135"/><Relationship Type="http://schemas.openxmlformats.org/officeDocument/2006/relationships/hyperlink" Target="https://x.com/ThematicTrader" TargetMode="External" Id="rId136"/><Relationship Type="http://schemas.openxmlformats.org/officeDocument/2006/relationships/hyperlink" Target="https://x.com/mikeaxolotl" TargetMode="External" Id="rId137"/><Relationship Type="http://schemas.openxmlformats.org/officeDocument/2006/relationships/hyperlink" Target="https://x.com/mikeaxolotl/status/2010427169969999886" TargetMode="External" Id="rId138"/><Relationship Type="http://schemas.openxmlformats.org/officeDocument/2006/relationships/hyperlink" Target="https://x.com/BULLOFBRITAIN" TargetMode="External" Id="rId139"/><Relationship Type="http://schemas.openxmlformats.org/officeDocument/2006/relationships/hyperlink" Target="https://x.com/mikeaxolotl/status/2010427169969999886" TargetMode="External" Id="rId140"/><Relationship Type="http://schemas.openxmlformats.org/officeDocument/2006/relationships/hyperlink" Target="https://x.com/wa7ermelon" TargetMode="External" Id="rId141"/><Relationship Type="http://schemas.openxmlformats.org/officeDocument/2006/relationships/hyperlink" Target="https://x.com/BarnyardBull72" TargetMode="External" Id="rId142"/><Relationship Type="http://schemas.openxmlformats.org/officeDocument/2006/relationships/hyperlink" Target="https://x.com/TheTechInvest/status/1887511440598176069" TargetMode="External" Id="rId143"/><Relationship Type="http://schemas.openxmlformats.org/officeDocument/2006/relationships/hyperlink" Target="https://x.com/TheTechInvest/status/1887511440598176069" TargetMode="External" Id="rId144"/><Relationship Type="http://schemas.openxmlformats.org/officeDocument/2006/relationships/hyperlink" Target="https://x.com/TheBenSchmark" TargetMode="External" Id="rId145"/><Relationship Type="http://schemas.openxmlformats.org/officeDocument/2006/relationships/hyperlink" Target="https://x.com/Venu_7_/status/2009664160381219149" TargetMode="External" Id="rId146"/><Relationship Type="http://schemas.openxmlformats.org/officeDocument/2006/relationships/hyperlink" Target="https://x.com/Pray4Equity/status/1897472925814387114" TargetMode="External" Id="rId147"/><Relationship Type="http://schemas.openxmlformats.org/officeDocument/2006/relationships/hyperlink" Target="https://x.com/Pray4Equity/status/1897472925814387114" TargetMode="External" Id="rId148"/><Relationship Type="http://schemas.openxmlformats.org/officeDocument/2006/relationships/hyperlink" Target="https://x.com/MrStockLockPro1" TargetMode="External" Id="rId149"/><Relationship Type="http://schemas.openxmlformats.org/officeDocument/2006/relationships/hyperlink" Target="https://x.com/MMatters22596" TargetMode="External" Id="rId150"/><Relationship Type="http://schemas.openxmlformats.org/officeDocument/2006/relationships/hyperlink" Target="https://x.com/MMatters22596/status/2009384025006461294" TargetMode="External" Id="rId151"/><Relationship Type="http://schemas.openxmlformats.org/officeDocument/2006/relationships/hyperlink" Target="https://x.com/thesheetztweetz" TargetMode="External" Id="rId152"/><Relationship Type="http://schemas.openxmlformats.org/officeDocument/2006/relationships/hyperlink" Target="https://x.com/MMatters22596/status/2009384025006461294" TargetMode="External" Id="rId153"/><Relationship Type="http://schemas.openxmlformats.org/officeDocument/2006/relationships/hyperlink" Target="https://x.com/PennyboisTrades/status/1889066814258192846" TargetMode="External" Id="rId154"/><Relationship Type="http://schemas.openxmlformats.org/officeDocument/2006/relationships/hyperlink" Target="https://x.com/PennyboisTrades/status/1889066814258192846" TargetMode="External" Id="rId155"/><Relationship Type="http://schemas.openxmlformats.org/officeDocument/2006/relationships/hyperlink" Target="https://x.com/crux_capital_/status/1996368091840913688" TargetMode="External" Id="rId156"/><Relationship Type="http://schemas.openxmlformats.org/officeDocument/2006/relationships/hyperlink" Target="https://x.com/crux_capital_/status/1996368091840913688" TargetMode="External" Id="rId157"/><Relationship Type="http://schemas.openxmlformats.org/officeDocument/2006/relationships/hyperlink" Target="https://x.com/Chartradamus/status/1981805224940761514" TargetMode="External" Id="rId158"/><Relationship Type="http://schemas.openxmlformats.org/officeDocument/2006/relationships/hyperlink" Target="https://x.com/Chartradamus/status/1981805224940761514" TargetMode="External" Id="rId159"/><Relationship Type="http://schemas.openxmlformats.org/officeDocument/2006/relationships/hyperlink" Target="https://x.com/SJCapitalInvest" TargetMode="External" Id="rId160"/><Relationship Type="http://schemas.openxmlformats.org/officeDocument/2006/relationships/hyperlink" Target="https://x.com/accounting_ds/status/1992592631067484190" TargetMode="External" Id="rId161"/><Relationship Type="http://schemas.openxmlformats.org/officeDocument/2006/relationships/hyperlink" Target="https://x.com/SigmaFemale1818" TargetMode="External" Id="rId162"/><Relationship Type="http://schemas.openxmlformats.org/officeDocument/2006/relationships/hyperlink" Target="https://x.com/SigmaFemale1818/status/1932832140791607766" TargetMode="External" Id="rId163"/><Relationship Type="http://schemas.openxmlformats.org/officeDocument/2006/relationships/hyperlink" Target="https://x.com/SigmaFemale1818" TargetMode="External" Id="rId164"/><Relationship Type="http://schemas.openxmlformats.org/officeDocument/2006/relationships/hyperlink" Target="https://x.com/SigmaFemale1818/status/2009971198088610267" TargetMode="External" Id="rId165"/><Relationship Type="http://schemas.openxmlformats.org/officeDocument/2006/relationships/hyperlink" Target="https://x.com/P14Capital" TargetMode="External" Id="rId166"/><Relationship Type="http://schemas.openxmlformats.org/officeDocument/2006/relationships/hyperlink" Target="https://x.com/LogicalThesis" TargetMode="External" Id="rId167"/><Relationship Type="http://schemas.openxmlformats.org/officeDocument/2006/relationships/hyperlink" Target="https://x.com/LogicalThesis/status/2010148346544247024" TargetMode="External" Id="rId168"/><Relationship Type="http://schemas.openxmlformats.org/officeDocument/2006/relationships/hyperlink" Target="https://x.com/LogicalThesis/status/2010148346544247024" TargetMode="External" Id="rId169"/><Relationship Type="http://schemas.openxmlformats.org/officeDocument/2006/relationships/hyperlink" Target="https://x.com/SPACuity/status/1983227368748572779" TargetMode="External" Id="rId170"/><Relationship Type="http://schemas.openxmlformats.org/officeDocument/2006/relationships/hyperlink" Target="https://x.com/SPACuity/status/1983227368748572779" TargetMode="External" Id="rId171"/><Relationship Type="http://schemas.openxmlformats.org/officeDocument/2006/relationships/hyperlink" Target="https://x.com/TopTickResearch" TargetMode="External" Id="rId172"/><Relationship Type="http://schemas.openxmlformats.org/officeDocument/2006/relationships/hyperlink" Target="https://x.com/TopTickResearch/status/2009709455676715078" TargetMode="External" Id="rId173"/><Relationship Type="http://schemas.openxmlformats.org/officeDocument/2006/relationships/hyperlink" Target="https://x.com/StonkValue" TargetMode="External" Id="rId174"/><Relationship Type="http://schemas.openxmlformats.org/officeDocument/2006/relationships/hyperlink" Target="https://x.com/StonkValue/status/1984817047717793802" TargetMode="External" Id="rId175"/><Relationship Type="http://schemas.openxmlformats.org/officeDocument/2006/relationships/hyperlink" Target="https://x.com/Jake__Wujastyk" TargetMode="External" Id="rId176"/><Relationship Type="http://schemas.openxmlformats.org/officeDocument/2006/relationships/hyperlink" Target="https://x.com/itschrisray/status/2007929781929578798" TargetMode="External" Id="rId177"/><Relationship Type="http://schemas.openxmlformats.org/officeDocument/2006/relationships/hyperlink" Target="https://x.com/TheValueist" TargetMode="External" Id="rId178"/><Relationship Type="http://schemas.openxmlformats.org/officeDocument/2006/relationships/hyperlink" Target="https://x.com/johnsontrades_" TargetMode="External" Id="rId179"/><Relationship Type="http://schemas.openxmlformats.org/officeDocument/2006/relationships/hyperlink" Target="https://x.com/johnsontrades_/status/2011530004996260040" TargetMode="External" Id="rId180"/><Relationship Type="http://schemas.openxmlformats.org/officeDocument/2006/relationships/hyperlink" Target="https://x.com/BussinBiotech/status/1933296184623317267" TargetMode="External" Id="rId181"/><Relationship Type="http://schemas.openxmlformats.org/officeDocument/2006/relationships/hyperlink" Target="https://x.com/BussinBiotech/status/1925280566477312104" TargetMode="External" Id="rId182"/><Relationship Type="http://schemas.openxmlformats.org/officeDocument/2006/relationships/hyperlink" Target="https://x.com/BussinBiotech/status/1933296184623317267" TargetMode="External" Id="rId183"/><Relationship Type="http://schemas.openxmlformats.org/officeDocument/2006/relationships/hyperlink" Target="https://x.com/Deadbrokeinvest/status/1795819079955370265" TargetMode="External" Id="rId184"/><Relationship Type="http://schemas.openxmlformats.org/officeDocument/2006/relationships/hyperlink" Target="https://x.com/Deadbrokeinvest/status/1795819079955370265" TargetMode="External" Id="rId185"/><Relationship Type="http://schemas.openxmlformats.org/officeDocument/2006/relationships/hyperlink" Target="https://x.com/Deadbrokeinvest" TargetMode="External" Id="rId186"/><Relationship Type="http://schemas.openxmlformats.org/officeDocument/2006/relationships/hyperlink" Target="https://x.com/Mike10947310/status/1990154331589394776" TargetMode="External" Id="rId187"/><Relationship Type="http://schemas.openxmlformats.org/officeDocument/2006/relationships/hyperlink" Target="https://x.com/Mike10947310/status/1990154331589394776" TargetMode="External" Id="rId188"/><Relationship Type="http://schemas.openxmlformats.org/officeDocument/2006/relationships/hyperlink" Target="https://x.com/Mike10947310" TargetMode="External" Id="rId189"/><Relationship Type="http://schemas.openxmlformats.org/officeDocument/2006/relationships/hyperlink" Target="https://x.com/itschrisray" TargetMode="External" Id="rId190"/><Relationship Type="http://schemas.openxmlformats.org/officeDocument/2006/relationships/hyperlink" Target="https://x.com/itschrisray/status/1985332628455575862" TargetMode="External" Id="rId191"/><Relationship Type="http://schemas.openxmlformats.org/officeDocument/2006/relationships/hyperlink" Target="https://x.com/RedDogT3" TargetMode="External" Id="rId192"/><Relationship Type="http://schemas.openxmlformats.org/officeDocument/2006/relationships/hyperlink" Target="https://x.com/RJCcapital/status/2008279399171281087" TargetMode="External" Id="rId193"/><Relationship Type="http://schemas.openxmlformats.org/officeDocument/2006/relationships/hyperlink" Target="https://x.com/fundmyfund/status/1945516882968068267" TargetMode="External" Id="rId194"/><Relationship Type="http://schemas.openxmlformats.org/officeDocument/2006/relationships/hyperlink" Target="https://x.com/fundmyfund/status/1945516882968068267" TargetMode="External" Id="rId195"/><Relationship Type="http://schemas.openxmlformats.org/officeDocument/2006/relationships/hyperlink" Target="https://x.com/fundmyfund" TargetMode="External" Id="rId196"/><Relationship Type="http://schemas.openxmlformats.org/officeDocument/2006/relationships/hyperlink" Target="https://x.com/TheRonnieVShow" TargetMode="External" Id="rId197"/><Relationship Type="http://schemas.openxmlformats.org/officeDocument/2006/relationships/hyperlink" Target="https://x.com/TheRonnieVShow/status/1936569653696074103" TargetMode="External" Id="rId198"/><Relationship Type="http://schemas.openxmlformats.org/officeDocument/2006/relationships/hyperlink" Target="https://x.com/MrMikeInvesting" TargetMode="External" Id="rId199"/><Relationship Type="http://schemas.openxmlformats.org/officeDocument/2006/relationships/hyperlink" Target="https://x.com/LeaderInvests/status/2011054315511710179" TargetMode="External" Id="rId200"/><Relationship Type="http://schemas.openxmlformats.org/officeDocument/2006/relationships/hyperlink" Target="https://x.com/kingtutcap/status/1975201635598225579" TargetMode="External" Id="rId201"/><Relationship Type="http://schemas.openxmlformats.org/officeDocument/2006/relationships/hyperlink" Target="https://x.com/kingtutcap/status/1975201635598225579" TargetMode="External" Id="rId202"/><Relationship Type="http://schemas.openxmlformats.org/officeDocument/2006/relationships/hyperlink" Target="https://x.com/kingtutcap/status/1975201635598225579" TargetMode="External" Id="rId203"/><Relationship Type="http://schemas.openxmlformats.org/officeDocument/2006/relationships/hyperlink" Target="https://x.com/RodrigoLezama7/status/1998865978806120590" TargetMode="External" Id="rId204"/><Relationship Type="http://schemas.openxmlformats.org/officeDocument/2006/relationships/hyperlink" Target="https://x.com/TheRonnieVShow" TargetMode="External" Id="rId205"/><Relationship Type="http://schemas.openxmlformats.org/officeDocument/2006/relationships/hyperlink" Target="https://x.com/TheRonnieVShow/status/1939024428538700083" TargetMode="External" Id="rId206"/><Relationship Type="http://schemas.openxmlformats.org/officeDocument/2006/relationships/hyperlink" Target="https://x.com/danielnewmanUV" TargetMode="External" Id="rId207"/><Relationship Type="http://schemas.openxmlformats.org/officeDocument/2006/relationships/hyperlink" Target="https://x.com/techandcapital/status/1925345388753498200" TargetMode="External" Id="rId208"/><Relationship Type="http://schemas.openxmlformats.org/officeDocument/2006/relationships/hyperlink" Target="https://x.com/FloodCapital" TargetMode="External" Id="rId209"/><Relationship Type="http://schemas.openxmlformats.org/officeDocument/2006/relationships/hyperlink" Target="https://x.com/FloodCapital/status/1405635714608414721" TargetMode="External" Id="rId210"/><Relationship Type="http://schemas.openxmlformats.org/officeDocument/2006/relationships/hyperlink" Target="https://x.com/FloodCapital" TargetMode="External" Id="rId211"/><Relationship Type="http://schemas.openxmlformats.org/officeDocument/2006/relationships/hyperlink" Target="https://x.com/mikealfred" TargetMode="External" Id="rId212"/><Relationship Type="http://schemas.openxmlformats.org/officeDocument/2006/relationships/hyperlink" Target="https://x.com/mikealfred/status/1970548682136396189" TargetMode="External" Id="rId213"/><Relationship Type="http://schemas.openxmlformats.org/officeDocument/2006/relationships/hyperlink" Target="https://x.com/JuveCapital" TargetMode="External" Id="rId214"/><Relationship Type="http://schemas.openxmlformats.org/officeDocument/2006/relationships/hyperlink" Target="https://x.com/JuveCapital/status/1972318183022301374" TargetMode="External" Id="rId215"/><Relationship Type="http://schemas.openxmlformats.org/officeDocument/2006/relationships/hyperlink" Target="https://x.com/crux_capital_/status/1974577924906119429" TargetMode="External" Id="rId216"/><Relationship Type="http://schemas.openxmlformats.org/officeDocument/2006/relationships/hyperlink" Target="https://x.com/crux_capital_/status/1974577924906119429" TargetMode="External" Id="rId217"/><Relationship Type="http://schemas.openxmlformats.org/officeDocument/2006/relationships/hyperlink" Target="https://x.com/crux_capital_/status/1974577924906119429" TargetMode="External" Id="rId218"/><Relationship Type="http://schemas.openxmlformats.org/officeDocument/2006/relationships/hyperlink" Target="https://x.com/TheValueist" TargetMode="External" Id="rId219"/><Relationship Type="http://schemas.openxmlformats.org/officeDocument/2006/relationships/hyperlink" Target="https://x.com/TheValueist/status/2009687481298321617" TargetMode="External" Id="rId220"/><Relationship Type="http://schemas.openxmlformats.org/officeDocument/2006/relationships/hyperlink" Target="https://x.com/TheValueist" TargetMode="External" Id="rId221"/><Relationship Type="http://schemas.openxmlformats.org/officeDocument/2006/relationships/hyperlink" Target="https://x.com/TheValueist/status/2009687481298321617" TargetMode="External" Id="rId222"/><Relationship Type="http://schemas.openxmlformats.org/officeDocument/2006/relationships/hyperlink" Target="https://x.com/matthew_sigel" TargetMode="External" Id="rId223"/><Relationship Type="http://schemas.openxmlformats.org/officeDocument/2006/relationships/hyperlink" Target="https://x.com/matthew_sigel/status/2011819048619721163" TargetMode="External" Id="rId224"/><Relationship Type="http://schemas.openxmlformats.org/officeDocument/2006/relationships/hyperlink" Target="https://x.com/TipRanks" TargetMode="External" Id="rId225"/><Relationship Type="http://schemas.openxmlformats.org/officeDocument/2006/relationships/hyperlink" Target="https://x.com/matthew_sigel/status/2011819048619721163" TargetMode="External" Id="rId226"/><Relationship Type="http://schemas.openxmlformats.org/officeDocument/2006/relationships/hyperlink" Target="https://x.com/buccocapital" TargetMode="External" Id="rId227"/><Relationship Type="http://schemas.openxmlformats.org/officeDocument/2006/relationships/hyperlink" Target="https://x.com/buccocapital/status/1951081917740359840" TargetMode="External" Id="rId228"/><Relationship Type="http://schemas.openxmlformats.org/officeDocument/2006/relationships/hyperlink" Target="https://x.com/buccocapital" TargetMode="External" Id="rId229"/><Relationship Type="http://schemas.openxmlformats.org/officeDocument/2006/relationships/hyperlink" Target="https://x.com/buccocapital/status/1951081917740359840" TargetMode="External" Id="rId230"/><Relationship Type="http://schemas.openxmlformats.org/officeDocument/2006/relationships/hyperlink" Target="https://x.com/ArtanisTheGreat" TargetMode="External" Id="rId231"/><Relationship Type="http://schemas.openxmlformats.org/officeDocument/2006/relationships/hyperlink" Target="https://x.com/ArtanisTheGreat/status/2010465037174050986" TargetMode="External" Id="rId232"/><Relationship Type="http://schemas.openxmlformats.org/officeDocument/2006/relationships/hyperlink" Target="https://x.com/ArtanisTheGreat/status/2010465037174050986" TargetMode="External" Id="rId233"/><Relationship Type="http://schemas.openxmlformats.org/officeDocument/2006/relationships/hyperlink" Target="https://x.com/Venu_7_" TargetMode="External" Id="rId234"/><Relationship Type="http://schemas.openxmlformats.org/officeDocument/2006/relationships/hyperlink" Target="https://x.com/Venu_7_/status/1989768181884621023" TargetMode="External" Id="rId235"/><Relationship Type="http://schemas.openxmlformats.org/officeDocument/2006/relationships/hyperlink" Target="https://x.com/matthew_sigel/status/1965335679170179466" TargetMode="External" Id="rId236"/><Relationship Type="http://schemas.openxmlformats.org/officeDocument/2006/relationships/hyperlink" Target="https://x.com/matthew_sigel/status/1965335679170179466" TargetMode="External" Id="rId237"/><Relationship Type="http://schemas.openxmlformats.org/officeDocument/2006/relationships/hyperlink" Target="https://x.com/P14Capital" TargetMode="External" Id="rId238"/><Relationship Type="http://schemas.openxmlformats.org/officeDocument/2006/relationships/hyperlink" Target="https://x.com/P14Capital/status/2010084282535153667" TargetMode="External" Id="rId239"/><Relationship Type="http://schemas.openxmlformats.org/officeDocument/2006/relationships/hyperlink" Target="https://x.com/LaMonicaBuzz" TargetMode="External" Id="rId240"/><Relationship Type="http://schemas.openxmlformats.org/officeDocument/2006/relationships/hyperlink" Target="https://x.com/P14Capital/status/2010084282535153667" TargetMode="External" Id="rId241"/><Relationship Type="http://schemas.openxmlformats.org/officeDocument/2006/relationships/hyperlink" Target="https://x.com/JKeynesAlpha" TargetMode="External" Id="rId242"/><Relationship Type="http://schemas.openxmlformats.org/officeDocument/2006/relationships/hyperlink" Target="https://x.com/JKeynesAlpha/status/1972024013225709643" TargetMode="External" Id="rId243"/><Relationship Type="http://schemas.openxmlformats.org/officeDocument/2006/relationships/hyperlink" Target="https://x.com/JKeynesAlpha/status/1972024013225709643" TargetMode="External" Id="rId244"/><Relationship Type="http://schemas.openxmlformats.org/officeDocument/2006/relationships/hyperlink" Target="https://x.com/thenewmoney_tnm/status/1864140636661928255?s=20" TargetMode="External" Id="rId245"/><Relationship Type="http://schemas.openxmlformats.org/officeDocument/2006/relationships/hyperlink" Target="https://x.com/thenewmoney_tnm/status/1864140636661928255?s=20" TargetMode="External" Id="rId246"/><Relationship Type="http://schemas.openxmlformats.org/officeDocument/2006/relationships/hyperlink" Target="https://x.com/thenewmoney_tnm/status/1864140636661928255?s=20" TargetMode="External" Id="rId247"/><Relationship Type="http://schemas.openxmlformats.org/officeDocument/2006/relationships/hyperlink" Target="https://x.com/EliteOptions2" TargetMode="External" Id="rId248"/><Relationship Type="http://schemas.openxmlformats.org/officeDocument/2006/relationships/hyperlink" Target="https://x.com/EliteOptions2/status/1876807289941774577" TargetMode="External" Id="rId249"/><Relationship Type="http://schemas.openxmlformats.org/officeDocument/2006/relationships/hyperlink" Target="https://x.com/Jake__Wujastyk" TargetMode="External" Id="rId250"/><Relationship Type="http://schemas.openxmlformats.org/officeDocument/2006/relationships/hyperlink" Target="https://x.com/EliteOptions2/status/1968113949968048229" TargetMode="External" Id="rId251"/><Relationship Type="http://schemas.openxmlformats.org/officeDocument/2006/relationships/hyperlink" Target="https://x.com/imapedestrian/status/1881806755690401827" TargetMode="External" Id="rId252"/><Relationship Type="http://schemas.openxmlformats.org/officeDocument/2006/relationships/hyperlink" Target="https://x.com/imapedestrian/status/1881806755690401827" TargetMode="External" Id="rId253"/><Relationship Type="http://schemas.openxmlformats.org/officeDocument/2006/relationships/hyperlink" Target="https://x.com/crux_capital_" TargetMode="External" Id="rId254"/><Relationship Type="http://schemas.openxmlformats.org/officeDocument/2006/relationships/hyperlink" Target="https://x.com/TacticzH" TargetMode="External" Id="rId255"/><Relationship Type="http://schemas.openxmlformats.org/officeDocument/2006/relationships/hyperlink" Target="https://x.com/TacticzH/status/1974123940210524455" TargetMode="External" Id="rId256"/><Relationship Type="http://schemas.openxmlformats.org/officeDocument/2006/relationships/hyperlink" Target="https://x.com/TacticzH" TargetMode="External" Id="rId257"/><Relationship Type="http://schemas.openxmlformats.org/officeDocument/2006/relationships/hyperlink" Target="https://x.com/TacticzH/status/1974123940210524455" TargetMode="External" Id="rId258"/><Relationship Type="http://schemas.openxmlformats.org/officeDocument/2006/relationships/hyperlink" Target="https://x.com/Ron_Trades" TargetMode="External" Id="rId259"/><Relationship Type="http://schemas.openxmlformats.org/officeDocument/2006/relationships/hyperlink" Target="https://x.com/Ron_Trades/status/2010790254589198352" TargetMode="External" Id="rId260"/><Relationship Type="http://schemas.openxmlformats.org/officeDocument/2006/relationships/hyperlink" Target="https://x.com/Ron_Trades/status/2010790254589198352" TargetMode="External" Id="rId261"/><Relationship Type="http://schemas.openxmlformats.org/officeDocument/2006/relationships/hyperlink" Target="https://x.com/Venu_7_" TargetMode="External" Id="rId262"/><Relationship Type="http://schemas.openxmlformats.org/officeDocument/2006/relationships/hyperlink" Target="https://x.com/Venu_7_/status/1982459975210590675" TargetMode="External" Id="rId263"/><Relationship Type="http://schemas.openxmlformats.org/officeDocument/2006/relationships/hyperlink" Target="https://x.com/RedDogT3" TargetMode="External" Id="rId264"/><Relationship Type="http://schemas.openxmlformats.org/officeDocument/2006/relationships/hyperlink" Target="https://x.com/Venu_7_/status/1982459975210590675" TargetMode="External" Id="rId265"/><Relationship Type="http://schemas.openxmlformats.org/officeDocument/2006/relationships/hyperlink" Target="https://x.com/LizClaman" TargetMode="External" Id="rId266"/><Relationship Type="http://schemas.openxmlformats.org/officeDocument/2006/relationships/hyperlink" Target="https://x.com/LizClaman/status/1966530494159368440" TargetMode="External" Id="rId267"/><Relationship Type="http://schemas.openxmlformats.org/officeDocument/2006/relationships/hyperlink" Target="https://x.com/TipRanks" TargetMode="External" Id="rId268"/><Relationship Type="http://schemas.openxmlformats.org/officeDocument/2006/relationships/hyperlink" Target="https://x.com/LaMonicaBuzz/status/1975635080484954184" TargetMode="External" Id="rId269"/><Relationship Type="http://schemas.openxmlformats.org/officeDocument/2006/relationships/hyperlink" Target="https://x.com/InvestmentGuru_/status/1847667190582960293" TargetMode="External" Id="rId270"/><Relationship Type="http://schemas.openxmlformats.org/officeDocument/2006/relationships/hyperlink" Target="https://x.com/InvestmentGuru_/status/1847667190582960293" TargetMode="External" Id="rId271"/><Relationship Type="http://schemas.openxmlformats.org/officeDocument/2006/relationships/hyperlink" Target="https://x.com/MMatters22596/status/2002372271860486239" TargetMode="External" Id="rId272"/><Relationship Type="http://schemas.openxmlformats.org/officeDocument/2006/relationships/hyperlink" Target="https://x.com/TacticzH" TargetMode="External" Id="rId273"/><Relationship Type="http://schemas.openxmlformats.org/officeDocument/2006/relationships/hyperlink" Target="https://x.com/TacticzH" TargetMode="External" Id="rId274"/><Relationship Type="http://schemas.openxmlformats.org/officeDocument/2006/relationships/hyperlink" Target="https://x.com/TacticzH/status/1974123940210524455" TargetMode="External" Id="rId275"/><Relationship Type="http://schemas.openxmlformats.org/officeDocument/2006/relationships/hyperlink" Target="https://x.com/TacticzH" TargetMode="External" Id="rId276"/><Relationship Type="http://schemas.openxmlformats.org/officeDocument/2006/relationships/hyperlink" Target="https://x.com/TacticzH/status/1974123940210524455" TargetMode="External" Id="rId277"/><Relationship Type="http://schemas.openxmlformats.org/officeDocument/2006/relationships/hyperlink" Target="https://x.com/StockSavvyShay" TargetMode="External" Id="rId278"/><Relationship Type="http://schemas.openxmlformats.org/officeDocument/2006/relationships/hyperlink" Target="https://x.com/StockSavvyShay/status/1876979756182466757" TargetMode="External" Id="rId279"/><Relationship Type="http://schemas.openxmlformats.org/officeDocument/2006/relationships/hyperlink" Target="https://x.com/InvestorsLive" TargetMode="External" Id="rId280"/><Relationship Type="http://schemas.openxmlformats.org/officeDocument/2006/relationships/hyperlink" Target="https://x.com/QuantumBullHQ/status/1985533434035667099" TargetMode="External" Id="rId281"/><Relationship Type="http://schemas.openxmlformats.org/officeDocument/2006/relationships/hyperlink" Target="https://x.com/xT1T00" TargetMode="External" Id="rId282"/><Relationship Type="http://schemas.openxmlformats.org/officeDocument/2006/relationships/hyperlink" Target="https://x.com/xT1T00/status/2011138007558988216" TargetMode="External" Id="rId283"/><Relationship Type="http://schemas.openxmlformats.org/officeDocument/2006/relationships/hyperlink" Target="https://x.com/xT1T00/status/2011138007558988216" TargetMode="External" Id="rId284"/><Relationship Type="http://schemas.openxmlformats.org/officeDocument/2006/relationships/hyperlink" Target="https://x.com/Ashton_1nvests" TargetMode="External" Id="rId285"/><Relationship Type="http://schemas.openxmlformats.org/officeDocument/2006/relationships/hyperlink" Target="https://x.com/Ashton_1nvests/status/1956789123456789012" TargetMode="External" Id="rId286"/><Relationship Type="http://schemas.openxmlformats.org/officeDocument/2006/relationships/hyperlink" Target="https://x.com/Ashton_1nvests" TargetMode="External" Id="rId287"/><Relationship Type="http://schemas.openxmlformats.org/officeDocument/2006/relationships/hyperlink" Target="https://x.com/Ashton_1nvests/status/1967890123456789012" TargetMode="External" Id="rId288"/><Relationship Type="http://schemas.openxmlformats.org/officeDocument/2006/relationships/hyperlink" Target="https://x.com/StockSavvyShay" TargetMode="External" Id="rId289"/><Relationship Type="http://schemas.openxmlformats.org/officeDocument/2006/relationships/hyperlink" Target="https://x.com/StockSavvyShay/status/1876979756182466757" TargetMode="External" Id="rId290"/><Relationship Type="http://schemas.openxmlformats.org/officeDocument/2006/relationships/hyperlink" Target="https://x.com/InvestorsLive" TargetMode="External" Id="rId291"/><Relationship Type="http://schemas.openxmlformats.org/officeDocument/2006/relationships/hyperlink" Target="https://x.com/The_real_FredF/status/2009619374798487627" TargetMode="External" Id="rId292"/><Relationship Type="http://schemas.openxmlformats.org/officeDocument/2006/relationships/hyperlink" Target="https://x.com/LogicalThesis" TargetMode="External" Id="rId293"/><Relationship Type="http://schemas.openxmlformats.org/officeDocument/2006/relationships/hyperlink" Target="https://x.com/LogicalThesis/status/2010148346544247024" TargetMode="External" Id="rId294"/><Relationship Type="http://schemas.openxmlformats.org/officeDocument/2006/relationships/hyperlink" Target="https://x.com/LogicalThesis/status/2010148346544247024" TargetMode="External" Id="rId295"/><Relationship Type="http://schemas.openxmlformats.org/officeDocument/2006/relationships/hyperlink" Target="https://x.com/meehan_anthony" TargetMode="External" Id="rId296"/><Relationship Type="http://schemas.openxmlformats.org/officeDocument/2006/relationships/hyperlink" Target="https://x.com/meehan_anthony/status/2011162859821060183" TargetMode="External" Id="rId297"/><Relationship Type="http://schemas.openxmlformats.org/officeDocument/2006/relationships/hyperlink" Target="https://x.com/garyblack00" TargetMode="External" Id="rId298"/><Relationship Type="http://schemas.openxmlformats.org/officeDocument/2006/relationships/hyperlink" Target="https://x.com/meehan_anthony/status/2011162859821060183" TargetMode="External" Id="rId299"/><Relationship Type="http://schemas.openxmlformats.org/officeDocument/2006/relationships/hyperlink" Target="https://x.com/thexcapitalist" TargetMode="External" Id="rId300"/><Relationship Type="http://schemas.openxmlformats.org/officeDocument/2006/relationships/hyperlink" Target="https://x.com/thexcapitalist/status/1914696355911459250" TargetMode="External" Id="rId301"/><Relationship Type="http://schemas.openxmlformats.org/officeDocument/2006/relationships/hyperlink" Target="https://x.com/szaman" TargetMode="External" Id="rId302"/><Relationship Type="http://schemas.openxmlformats.org/officeDocument/2006/relationships/hyperlink" Target="https://x.com/MMMTwealth/status/1941873850611822724" TargetMode="External" Id="rId303"/><Relationship Type="http://schemas.openxmlformats.org/officeDocument/2006/relationships/hyperlink" Target="https://x.com/TacticzH" TargetMode="External" Id="rId304"/><Relationship Type="http://schemas.openxmlformats.org/officeDocument/2006/relationships/hyperlink" Target="https://x.com/TacticzH/status/1974123940210524455" TargetMode="External" Id="rId305"/><Relationship Type="http://schemas.openxmlformats.org/officeDocument/2006/relationships/hyperlink" Target="https://x.com/TacticzH" TargetMode="External" Id="rId306"/><Relationship Type="http://schemas.openxmlformats.org/officeDocument/2006/relationships/hyperlink" Target="https://x.com/TacticzH/status/1974123940210524455" TargetMode="External" Id="rId307"/><Relationship Type="http://schemas.openxmlformats.org/officeDocument/2006/relationships/hyperlink" Target="https://x.com/grassosteve" TargetMode="External" Id="rId308"/><Relationship Type="http://schemas.openxmlformats.org/officeDocument/2006/relationships/hyperlink" Target="https://x.com/grassosteve/status/1975564511185936485" TargetMode="External" Id="rId309"/><Relationship Type="http://schemas.openxmlformats.org/officeDocument/2006/relationships/hyperlink" Target="https://x.com/pennycheck" TargetMode="External" Id="rId310"/><Relationship Type="http://schemas.openxmlformats.org/officeDocument/2006/relationships/hyperlink" Target="https://x.com/disruptorinvest?s=20" TargetMode="External" Id="rId311"/><Relationship Type="http://schemas.openxmlformats.org/officeDocument/2006/relationships/hyperlink" Target="https://x.com/disruptorinvest/status/2008894936536555940" TargetMode="External" Id="rId312"/><Relationship Type="http://schemas.openxmlformats.org/officeDocument/2006/relationships/hyperlink" Target="https://x.com/disruptorinvest?s=20" TargetMode="External" Id="rId313"/><Relationship Type="http://schemas.openxmlformats.org/officeDocument/2006/relationships/hyperlink" Target="https://x.com/TheValueist/status/2004732954572992568" TargetMode="External" Id="rId314"/><Relationship Type="http://schemas.openxmlformats.org/officeDocument/2006/relationships/hyperlink" Target="https://x.com/LogicalThesis" TargetMode="External" Id="rId315"/><Relationship Type="http://schemas.openxmlformats.org/officeDocument/2006/relationships/hyperlink" Target="https://x.com/LogicalThesis/status/2010148346544247024" TargetMode="External" Id="rId316"/><Relationship Type="http://schemas.openxmlformats.org/officeDocument/2006/relationships/hyperlink" Target="https://x.com/LogicalThesis/status/2010148346544247024" TargetMode="External" Id="rId317"/><Relationship Type="http://schemas.openxmlformats.org/officeDocument/2006/relationships/hyperlink" Target="https://x.com/ThematicTrader" TargetMode="External" Id="rId318"/><Relationship Type="http://schemas.openxmlformats.org/officeDocument/2006/relationships/hyperlink" Target="https://x.com/ThematicTrader/status/2010491097177272812" TargetMode="External" Id="rId319"/><Relationship Type="http://schemas.openxmlformats.org/officeDocument/2006/relationships/hyperlink" Target="https://x.com/SeekingAlpha" TargetMode="External" Id="rId320"/><Relationship Type="http://schemas.openxmlformats.org/officeDocument/2006/relationships/hyperlink" Target="https://x.com/ThematicTrader/status/2010491097177272812" TargetMode="External" Id="rId321"/><Relationship Type="http://schemas.openxmlformats.org/officeDocument/2006/relationships/hyperlink" Target="https://x.com/LogicalThesis" TargetMode="External" Id="rId322"/><Relationship Type="http://schemas.openxmlformats.org/officeDocument/2006/relationships/hyperlink" Target="https://x.com/LogicalThesis/status/2010148346544247024" TargetMode="External" Id="rId323"/><Relationship Type="http://schemas.openxmlformats.org/officeDocument/2006/relationships/hyperlink" Target="https://x.com/LogicalThesis/status/2010148346544247024" TargetMode="External" Id="rId324"/><Relationship Type="http://schemas.openxmlformats.org/officeDocument/2006/relationships/hyperlink" Target="https://x.com/Staudinger333" TargetMode="External" Id="rId325"/><Relationship Type="http://schemas.openxmlformats.org/officeDocument/2006/relationships/hyperlink" Target="https://x.com/Staudinger333/status/2011510256375906434" TargetMode="External" Id="rId326"/><Relationship Type="http://schemas.openxmlformats.org/officeDocument/2006/relationships/hyperlink" Target="https://x.com/DannyOcean555" TargetMode="External" Id="rId327"/><Relationship Type="http://schemas.openxmlformats.org/officeDocument/2006/relationships/hyperlink" Target="https://x.com/DannyOcean555/status/2011274693169303774" TargetMode="External" Id="rId328"/><Relationship Type="http://schemas.openxmlformats.org/officeDocument/2006/relationships/hyperlink" Target="https://x.com/DannyOcean555/status/2011274693169303774" TargetMode="External" Id="rId329"/><Relationship Type="http://schemas.openxmlformats.org/officeDocument/2006/relationships/hyperlink" Target="https://x.com/Biotech2k1" TargetMode="External" Id="rId330"/><Relationship Type="http://schemas.openxmlformats.org/officeDocument/2006/relationships/hyperlink" Target="https://x.com/Biotech2k1/status/2011055135959515337" TargetMode="External" Id="rId331"/><Relationship Type="http://schemas.openxmlformats.org/officeDocument/2006/relationships/hyperlink" Target="https://x.com/Biotech2k1" TargetMode="External" Id="rId332"/><Relationship Type="http://schemas.openxmlformats.org/officeDocument/2006/relationships/hyperlink" Target="https://x.com/Biotech2k1/status/2011055135959515337" TargetMode="External" Id="rId333"/><Relationship Type="http://schemas.openxmlformats.org/officeDocument/2006/relationships/hyperlink" Target="https://x.com/traderstewie" TargetMode="External" Id="rId334"/><Relationship Type="http://schemas.openxmlformats.org/officeDocument/2006/relationships/hyperlink" Target="https://x.com/traderstewie/status/1948487778007740572" TargetMode="External" Id="rId335"/><Relationship Type="http://schemas.openxmlformats.org/officeDocument/2006/relationships/hyperlink" Target="https://x.com/acethebullly" TargetMode="External" Id="rId336"/><Relationship Type="http://schemas.openxmlformats.org/officeDocument/2006/relationships/hyperlink" Target="https://x.com/traderstewie/status/1948487778007740572" TargetMode="External" Id="rId337"/><Relationship Type="http://schemas.openxmlformats.org/officeDocument/2006/relationships/hyperlink" Target="https://x.com/Venu_7_" TargetMode="External" Id="rId338"/><Relationship Type="http://schemas.openxmlformats.org/officeDocument/2006/relationships/hyperlink" Target="https://x.com/Venu_7_/status/1993124567890123456" TargetMode="External" Id="rId339"/><Relationship Type="http://schemas.openxmlformats.org/officeDocument/2006/relationships/hyperlink" Target="https://x.com/RedDogT3" TargetMode="External" Id="rId340"/><Relationship Type="http://schemas.openxmlformats.org/officeDocument/2006/relationships/hyperlink" Target="https://x.com/Venu_7_/status/1993124567890123456" TargetMode="External" Id="rId341"/><Relationship Type="http://schemas.openxmlformats.org/officeDocument/2006/relationships/hyperlink" Target="https://x.com/Benzinga" TargetMode="External" Id="rId342"/><Relationship Type="http://schemas.openxmlformats.org/officeDocument/2006/relationships/hyperlink" Target="https://x.com/timothysykes" TargetMode="External" Id="rId343"/><Relationship Type="http://schemas.openxmlformats.org/officeDocument/2006/relationships/hyperlink" Target="https://x.com/DevelopAll" TargetMode="External" Id="rId344"/><Relationship Type="http://schemas.openxmlformats.org/officeDocument/2006/relationships/hyperlink" Target="https://x.com/DevelopAll/status/1952408673449385993" TargetMode="External" Id="rId345"/><Relationship Type="http://schemas.openxmlformats.org/officeDocument/2006/relationships/hyperlink" Target="https://x.com/Ashton_1nvests" TargetMode="External" Id="rId346"/><Relationship Type="http://schemas.openxmlformats.org/officeDocument/2006/relationships/hyperlink" Target="https://x.com/DevelopAll/status/1952408673449385993" TargetMode="External" Id="rId347"/><Relationship Type="http://schemas.openxmlformats.org/officeDocument/2006/relationships/hyperlink" Target="https://x.com/P14Capital" TargetMode="External" Id="rId348"/><Relationship Type="http://schemas.openxmlformats.org/officeDocument/2006/relationships/hyperlink" Target="https://x.com/P14Capital/status/2010084282535153667" TargetMode="External" Id="rId349"/><Relationship Type="http://schemas.openxmlformats.org/officeDocument/2006/relationships/hyperlink" Target="https://x.com/LaMonicaBuzz" TargetMode="External" Id="rId350"/><Relationship Type="http://schemas.openxmlformats.org/officeDocument/2006/relationships/hyperlink" Target="https://x.com/P14Capital/status/2010084282535153667" TargetMode="External" Id="rId351"/><Relationship Type="http://schemas.openxmlformats.org/officeDocument/2006/relationships/hyperlink" Target="https://x.com/kunal00" TargetMode="External" Id="rId352"/><Relationship Type="http://schemas.openxmlformats.org/officeDocument/2006/relationships/hyperlink" Target="https://x.com/kunal00/status/1996944296998514968" TargetMode="External" Id="rId353"/><Relationship Type="http://schemas.openxmlformats.org/officeDocument/2006/relationships/hyperlink" Target="https://x.com/RedDogT3" TargetMode="External" Id="rId354"/><Relationship Type="http://schemas.openxmlformats.org/officeDocument/2006/relationships/hyperlink" Target="https://x.com/kunal00/status/1996944296998514968" TargetMode="External" Id="rId355"/></Relationships>
</file>

<file path=xl/worksheets/_rels/sheet3.xml.rels><Relationships xmlns="http://schemas.openxmlformats.org/package/2006/relationships"><Relationship Type="http://schemas.openxmlformats.org/officeDocument/2006/relationships/hyperlink" Target="https://x.com/Venu_7_" TargetMode="External" Id="rId1"/><Relationship Type="http://schemas.openxmlformats.org/officeDocument/2006/relationships/hyperlink" Target="https://x.com/matthew_sigel/status/1965335679170179466" TargetMode="External" Id="rId2"/><Relationship Type="http://schemas.openxmlformats.org/officeDocument/2006/relationships/hyperlink" Target="https://x.com/FloodCapital" TargetMode="External" Id="rId3"/><Relationship Type="http://schemas.openxmlformats.org/officeDocument/2006/relationships/hyperlink" Target="https://x.com/FloodCapital" TargetMode="External" Id="rId4"/><Relationship Type="http://schemas.openxmlformats.org/officeDocument/2006/relationships/hyperlink" Target="https://x.com/thehustlebrosyt" TargetMode="External" Id="rId5"/><Relationship Type="http://schemas.openxmlformats.org/officeDocument/2006/relationships/hyperlink" Target="https://x.com/fundmyfund" TargetMode="External" Id="rId6"/><Relationship Type="http://schemas.openxmlformats.org/officeDocument/2006/relationships/hyperlink" Target="https://x.com/invest4_life" TargetMode="External" Id="rId7"/><Relationship Type="http://schemas.openxmlformats.org/officeDocument/2006/relationships/hyperlink" Target="https://x.com/Speculator_io" TargetMode="External" Id="rId8"/><Relationship Type="http://schemas.openxmlformats.org/officeDocument/2006/relationships/hyperlink" Target="https://x.com/KevinLMak/status/1796744049497403870" TargetMode="External" Id="rId9"/><Relationship Type="http://schemas.openxmlformats.org/officeDocument/2006/relationships/hyperlink" Target="https://x.com/ASTS_SpaceMob" TargetMode="External" Id="rId10"/><Relationship Type="http://schemas.openxmlformats.org/officeDocument/2006/relationships/hyperlink" Target="https://x.com/SPACuity/status/1983227368748572779" TargetMode="External" Id="rId11"/><Relationship Type="http://schemas.openxmlformats.org/officeDocument/2006/relationships/hyperlink" Target="https://x.com/SPACLiquidity" TargetMode="External" Id="rId12"/><Relationship Type="http://schemas.openxmlformats.org/officeDocument/2006/relationships/hyperlink" Target="https://x.com/PennyboisTrades/status/1889066814258192846" TargetMode="External" Id="rId13"/><Relationship Type="http://schemas.openxmlformats.org/officeDocument/2006/relationships/hyperlink" Target="https://x.com/crux_capital_/status/1996368091840913688" TargetMode="External" Id="rId14"/><Relationship Type="http://schemas.openxmlformats.org/officeDocument/2006/relationships/hyperlink" Target="https://x.com/itech_analyst/status/1838611381639172150" TargetMode="External" Id="rId15"/><Relationship Type="http://schemas.openxmlformats.org/officeDocument/2006/relationships/hyperlink" Target="https://x.com/TheValueist/status/2009687551272210617" TargetMode="External" Id="rId16"/><Relationship Type="http://schemas.openxmlformats.org/officeDocument/2006/relationships/hyperlink" Target="https://x.com/Chartradamus/status/1981805224940761514" TargetMode="External" Id="rId17"/><Relationship Type="http://schemas.openxmlformats.org/officeDocument/2006/relationships/hyperlink" Target="https://x.com/SJCapitalInvest" TargetMode="External" Id="rId18"/><Relationship Type="http://schemas.openxmlformats.org/officeDocument/2006/relationships/hyperlink" Target="https://x.com/bdinvestingg/status/1892574906799534286" TargetMode="External" Id="rId19"/><Relationship Type="http://schemas.openxmlformats.org/officeDocument/2006/relationships/hyperlink" Target="https://x.com/AIStockSavvy" TargetMode="External" Id="rId20"/><Relationship Type="http://schemas.openxmlformats.org/officeDocument/2006/relationships/hyperlink" Target="https://x.com/YeahDrDave" TargetMode="External" Id="rId21"/><Relationship Type="http://schemas.openxmlformats.org/officeDocument/2006/relationships/hyperlink" Target="https://x.com/Reformed_Trader/status/1999161301524709583" TargetMode="External" Id="rId22"/><Relationship Type="http://schemas.openxmlformats.org/officeDocument/2006/relationships/hyperlink" Target="https://x.com/Deadbrokeinvest/status/1795819079955370265" TargetMode="External" Id="rId23"/><Relationship Type="http://schemas.openxmlformats.org/officeDocument/2006/relationships/hyperlink" Target="https://x.com/Deadbrokeinvest" TargetMode="External" Id="rId24"/><Relationship Type="http://schemas.openxmlformats.org/officeDocument/2006/relationships/hyperlink" Target="https://x.com/probzunknown/status/1977759348211233204" TargetMode="External" Id="rId25"/><Relationship Type="http://schemas.openxmlformats.org/officeDocument/2006/relationships/hyperlink" Target="https://x.com/probzunknown" TargetMode="External" Id="rId26"/><Relationship Type="http://schemas.openxmlformats.org/officeDocument/2006/relationships/hyperlink" Target="https://x.com/invest4_life" TargetMode="External" Id="rId27"/><Relationship Type="http://schemas.openxmlformats.org/officeDocument/2006/relationships/hyperlink" Target="https://x.com/Speculator_io" TargetMode="External" Id="rId28"/><Relationship Type="http://schemas.openxmlformats.org/officeDocument/2006/relationships/hyperlink" Target="https://x.com/thexcapitalist" TargetMode="External" Id="rId29"/><Relationship Type="http://schemas.openxmlformats.org/officeDocument/2006/relationships/hyperlink" Target="https://x.com/szaman" TargetMode="External" Id="rId30"/><Relationship Type="http://schemas.openxmlformats.org/officeDocument/2006/relationships/hyperlink" Target="https://x.com/SpaceInvestor_D" TargetMode="External" Id="rId31"/><Relationship Type="http://schemas.openxmlformats.org/officeDocument/2006/relationships/hyperlink" Target="https://x.com/SpaceInvestor_D" TargetMode="External" Id="rId32"/><Relationship Type="http://schemas.openxmlformats.org/officeDocument/2006/relationships/hyperlink" Target="https://x.com/thenewmoney_tnm/status/1864140636661928255?s=20" TargetMode="External" Id="rId33"/><Relationship Type="http://schemas.openxmlformats.org/officeDocument/2006/relationships/hyperlink" Target="https://x.com/thenewmoney_tnm/status/1864140636661928255?s=20" TargetMode="External" Id="rId34"/><Relationship Type="http://schemas.openxmlformats.org/officeDocument/2006/relationships/hyperlink" Target="https://x.com/USAC_Bull/status/1979005366370214320" TargetMode="External" Id="rId35"/><Relationship Type="http://schemas.openxmlformats.org/officeDocument/2006/relationships/hyperlink" Target="https://x.com/USAC_Bull/status/1979005366370214320" TargetMode="External" Id="rId36"/><Relationship Type="http://schemas.openxmlformats.org/officeDocument/2006/relationships/hyperlink" Target="https://x.com/BlackScholesMan/status/1966111973269225858" TargetMode="External" Id="rId37"/><Relationship Type="http://schemas.openxmlformats.org/officeDocument/2006/relationships/hyperlink" Target="https://x.com/pennycheck/status/2013640290339299701" TargetMode="External" Id="rId38"/><Relationship Type="http://schemas.openxmlformats.org/officeDocument/2006/relationships/hyperlink" Target="https://x.com/SigmaFemale1818" TargetMode="External" Id="rId39"/><Relationship Type="http://schemas.openxmlformats.org/officeDocument/2006/relationships/hyperlink" Target="https://x.com/SigmaFemale1818" TargetMode="External" Id="rId40"/><Relationship Type="http://schemas.openxmlformats.org/officeDocument/2006/relationships/hyperlink" Target="https://x.com/Venu_7_/status/1953557794030072164" TargetMode="External" Id="rId41"/><Relationship Type="http://schemas.openxmlformats.org/officeDocument/2006/relationships/hyperlink" Target="https://x.com/crux_capital_" TargetMode="External" Id="rId42"/><Relationship Type="http://schemas.openxmlformats.org/officeDocument/2006/relationships/hyperlink" Target="https://x.com/EricTheUmpire/status/1907459216505266666" TargetMode="External" Id="rId43"/><Relationship Type="http://schemas.openxmlformats.org/officeDocument/2006/relationships/hyperlink" Target="https://x.com/ThematicTrader" TargetMode="External" Id="rId44"/><Relationship Type="http://schemas.openxmlformats.org/officeDocument/2006/relationships/hyperlink" Target="https://x.com/TheTechInvest/status/1887511440598176069" TargetMode="External" Id="rId45"/><Relationship Type="http://schemas.openxmlformats.org/officeDocument/2006/relationships/hyperlink" Target="https://x.com/TheBenSchmark" TargetMode="External" Id="rId46"/><Relationship Type="http://schemas.openxmlformats.org/officeDocument/2006/relationships/hyperlink" Target="https://x.com/Mike10947310" TargetMode="External" Id="rId47"/><Relationship Type="http://schemas.openxmlformats.org/officeDocument/2006/relationships/hyperlink" Target="https://x.com/YieldCurveBalI/status/1906717314575397222" TargetMode="External" Id="rId48"/><Relationship Type="http://schemas.openxmlformats.org/officeDocument/2006/relationships/hyperlink" Target="https://x.com/antarcticapital/status/1879172178832208117" TargetMode="External" Id="rId49"/><Relationship Type="http://schemas.openxmlformats.org/officeDocument/2006/relationships/hyperlink" Target="https://x.com/pennycheck" TargetMode="External" Id="rId50"/><Relationship Type="http://schemas.openxmlformats.org/officeDocument/2006/relationships/hyperlink" Target="https://x.com/kingtutcap/status/1975201635598225579" TargetMode="External" Id="rId51"/><Relationship Type="http://schemas.openxmlformats.org/officeDocument/2006/relationships/hyperlink" Target="https://x.com/kingtutcap/status/1975201635598225579" TargetMode="External" Id="rId52"/><Relationship Type="http://schemas.openxmlformats.org/officeDocument/2006/relationships/hyperlink" Target="https://x.com/BussinBiotech/status/1933296184623317267" TargetMode="External" Id="rId53"/><Relationship Type="http://schemas.openxmlformats.org/officeDocument/2006/relationships/hyperlink" Target="https://x.com/BussinBiotech/status/1933296184623317267" TargetMode="External" Id="rId54"/><Relationship Type="http://schemas.openxmlformats.org/officeDocument/2006/relationships/hyperlink" Target="https://x.com/Pray4Equity/status/1897472925814387114" TargetMode="External" Id="rId55"/><Relationship Type="http://schemas.openxmlformats.org/officeDocument/2006/relationships/hyperlink" Target="https://x.com/MrStockLockPro1" TargetMode="External" Id="rId56"/><Relationship Type="http://schemas.openxmlformats.org/officeDocument/2006/relationships/hyperlink" Target="https://x.com/fundmyfund" TargetMode="External" Id="rId57"/><Relationship Type="http://schemas.openxmlformats.org/officeDocument/2006/relationships/hyperlink" Target="https://x.com/crux_capital_/status/1974577924906119429" TargetMode="External" Id="rId58"/><Relationship Type="http://schemas.openxmlformats.org/officeDocument/2006/relationships/hyperlink" Target="https://x.com/crux_capital_/status/1974577924906119429" TargetMode="External" Id="rId59"/><Relationship Type="http://schemas.openxmlformats.org/officeDocument/2006/relationships/hyperlink" Target="https://x.com/PhyrexNi" TargetMode="External" Id="rId60"/><Relationship Type="http://schemas.openxmlformats.org/officeDocument/2006/relationships/hyperlink" Target="https://x.com/DekmarTrades/status/1970455842924437675" TargetMode="External" Id="rId61"/><Relationship Type="http://schemas.openxmlformats.org/officeDocument/2006/relationships/hyperlink" Target="https://x.com/DekmarTrades/status/1970455842924437675" TargetMode="External" Id="rId62"/><Relationship Type="http://schemas.openxmlformats.org/officeDocument/2006/relationships/hyperlink" Target="https://x.com/LizClaman" TargetMode="External" Id="rId63"/><Relationship Type="http://schemas.openxmlformats.org/officeDocument/2006/relationships/hyperlink" Target="https://x.com/TipRanks" TargetMode="External" Id="rId64"/><Relationship Type="http://schemas.openxmlformats.org/officeDocument/2006/relationships/hyperlink" Target="https://x.com/LionelHutz_Esq/status/1817837593326715216" TargetMode="External" Id="rId65"/><Relationship Type="http://schemas.openxmlformats.org/officeDocument/2006/relationships/hyperlink" Target="https://x.com/aleabitoreddit/status/2007758407948788162" TargetMode="External" Id="rId66"/><Relationship Type="http://schemas.openxmlformats.org/officeDocument/2006/relationships/hyperlink" Target="https://x.com/wa7ermelon" TargetMode="External" Id="rId67"/><Relationship Type="http://schemas.openxmlformats.org/officeDocument/2006/relationships/hyperlink" Target="https://x.com/BarnyardBull72" TargetMode="External" Id="rId68"/><Relationship Type="http://schemas.openxmlformats.org/officeDocument/2006/relationships/hyperlink" Target="https://x.com/thehustlebrosyt" TargetMode="External" Id="rId69"/><Relationship Type="http://schemas.openxmlformats.org/officeDocument/2006/relationships/hyperlink" Target="https://x.com/fundmyfund" TargetMode="External" Id="rId70"/><Relationship Type="http://schemas.openxmlformats.org/officeDocument/2006/relationships/hyperlink" Target="https://x.com/itech_analyst/status/1838611381639172150" TargetMode="External" Id="rId71"/><Relationship Type="http://schemas.openxmlformats.org/officeDocument/2006/relationships/hyperlink" Target="https://x.com/TheValueist/status/2009687551272210617" TargetMode="External" Id="rId72"/><Relationship Type="http://schemas.openxmlformats.org/officeDocument/2006/relationships/hyperlink" Target="https://x.com/Venu_7_" TargetMode="External" Id="rId73"/><Relationship Type="http://schemas.openxmlformats.org/officeDocument/2006/relationships/hyperlink" Target="https://x.com/RedDogT3" TargetMode="External" Id="rId74"/><Relationship Type="http://schemas.openxmlformats.org/officeDocument/2006/relationships/hyperlink" Target="https://x.com/TheValueist" TargetMode="External" Id="rId75"/><Relationship Type="http://schemas.openxmlformats.org/officeDocument/2006/relationships/hyperlink" Target="https://x.com/TheValueist" TargetMode="External" Id="rId76"/><Relationship Type="http://schemas.openxmlformats.org/officeDocument/2006/relationships/hyperlink" Target="https://x.com/TentyTheToitle" TargetMode="External" Id="rId77"/><Relationship Type="http://schemas.openxmlformats.org/officeDocument/2006/relationships/hyperlink" Target="https://x.com/RobertMarcin" TargetMode="External" Id="rId78"/><Relationship Type="http://schemas.openxmlformats.org/officeDocument/2006/relationships/hyperlink" Target="https://x.com/TheRonnieVShow" TargetMode="External" Id="rId79"/><Relationship Type="http://schemas.openxmlformats.org/officeDocument/2006/relationships/hyperlink" Target="https://x.com/MrMikeInvesting" TargetMode="External" Id="rId80"/></Relationships>
</file>

<file path=xl/worksheets/_rels/sheet4.xml.rels><Relationships xmlns="http://schemas.openxmlformats.org/package/2006/relationships"><Relationship Type="http://schemas.openxmlformats.org/officeDocument/2006/relationships/hyperlink" Target="https://x.com/invest4_life" TargetMode="External" Id="rId1"/><Relationship Type="http://schemas.openxmlformats.org/officeDocument/2006/relationships/hyperlink" Target="https://x.com/Speculator_io" TargetMode="External" Id="rId2"/><Relationship Type="http://schemas.openxmlformats.org/officeDocument/2006/relationships/hyperlink" Target="https://x.com/LionelHutz_Esq/status/1817837593326715216" TargetMode="External" Id="rId3"/><Relationship Type="http://schemas.openxmlformats.org/officeDocument/2006/relationships/hyperlink" Target="https://x.com/aleabitoreddit/status/2007758407948788162" TargetMode="External" Id="rId4"/><Relationship Type="http://schemas.openxmlformats.org/officeDocument/2006/relationships/hyperlink" Target="https://x.com/Minnvestor/status/1851698973821513794" TargetMode="External" Id="rId5"/><Relationship Type="http://schemas.openxmlformats.org/officeDocument/2006/relationships/hyperlink" Target="https://x.com/Share_Talk" TargetMode="External" Id="rId6"/><Relationship Type="http://schemas.openxmlformats.org/officeDocument/2006/relationships/hyperlink" Target="https://x.com/YeahDrDave" TargetMode="External" Id="rId7"/><Relationship Type="http://schemas.openxmlformats.org/officeDocument/2006/relationships/hyperlink" Target="https://x.com/Reformed_Trader/status/1999161301524709583" TargetMode="External" Id="rId8"/><Relationship Type="http://schemas.openxmlformats.org/officeDocument/2006/relationships/hyperlink" Target="https://x.com/itech_analyst/status/1838611381639172150" TargetMode="External" Id="rId9"/><Relationship Type="http://schemas.openxmlformats.org/officeDocument/2006/relationships/hyperlink" Target="https://x.com/TheValueist/status/2009687551272210617" TargetMode="External" Id="rId10"/><Relationship Type="http://schemas.openxmlformats.org/officeDocument/2006/relationships/hyperlink" Target="https://x.com/crux_capital_" TargetMode="External" Id="rId11"/><Relationship Type="http://schemas.openxmlformats.org/officeDocument/2006/relationships/hyperlink" Target="https://x.com/BlackPantherCap" TargetMode="External" Id="rId12"/><Relationship Type="http://schemas.openxmlformats.org/officeDocument/2006/relationships/hyperlink" Target="https://x.com/Venu_7_" TargetMode="External" Id="rId13"/><Relationship Type="http://schemas.openxmlformats.org/officeDocument/2006/relationships/hyperlink" Target="https://x.com/matthew_sigel/status/1965335679170179466" TargetMode="External" Id="rId14"/><Relationship Type="http://schemas.openxmlformats.org/officeDocument/2006/relationships/hyperlink" Target="https://x.com/pennycheck/status/1686369639658319872" TargetMode="External" Id="rId15"/><Relationship Type="http://schemas.openxmlformats.org/officeDocument/2006/relationships/hyperlink" Target="https://x.com/SJCapitalInvest" TargetMode="External" Id="rId16"/><Relationship Type="http://schemas.openxmlformats.org/officeDocument/2006/relationships/hyperlink" Target="https://x.com/SpaceInvestor_D" TargetMode="External" Id="rId17"/><Relationship Type="http://schemas.openxmlformats.org/officeDocument/2006/relationships/hyperlink" Target="https://x.com/SpaceInvestor_D" TargetMode="External" Id="rId18"/><Relationship Type="http://schemas.openxmlformats.org/officeDocument/2006/relationships/hyperlink" Target="https://x.com/KevinLMak/status/1796744049497403870" TargetMode="External" Id="rId19"/><Relationship Type="http://schemas.openxmlformats.org/officeDocument/2006/relationships/hyperlink" Target="https://x.com/ASTS_SpaceMob" TargetMode="External" Id="rId20"/><Relationship Type="http://schemas.openxmlformats.org/officeDocument/2006/relationships/hyperlink" Target="https://x.com/LionelHutz_Esq/status/1817837593326715216" TargetMode="External" Id="rId21"/><Relationship Type="http://schemas.openxmlformats.org/officeDocument/2006/relationships/hyperlink" Target="https://x.com/aleabitoreddit/status/2007758407948788162" TargetMode="External" Id="rId22"/><Relationship Type="http://schemas.openxmlformats.org/officeDocument/2006/relationships/hyperlink" Target="https://x.com/Minnvestor/status/1851698973821513794" TargetMode="External" Id="rId23"/><Relationship Type="http://schemas.openxmlformats.org/officeDocument/2006/relationships/hyperlink" Target="https://x.com/Share_Talk" TargetMode="External" Id="rId24"/><Relationship Type="http://schemas.openxmlformats.org/officeDocument/2006/relationships/hyperlink" Target="https://x.com/StockRocket1/status/1930289136713224365" TargetMode="External" Id="rId25"/><Relationship Type="http://schemas.openxmlformats.org/officeDocument/2006/relationships/hyperlink" Target="https://x.com/StockRocket1/status/1930289136713224365" TargetMode="External" Id="rId26"/><Relationship Type="http://schemas.openxmlformats.org/officeDocument/2006/relationships/hyperlink" Target="https://x.com/invest4_life" TargetMode="External" Id="rId27"/><Relationship Type="http://schemas.openxmlformats.org/officeDocument/2006/relationships/hyperlink" Target="https://x.com/Speculator_io" TargetMode="External" Id="rId28"/><Relationship Type="http://schemas.openxmlformats.org/officeDocument/2006/relationships/hyperlink" Target="https://x.com/itech_analyst/status/1838611381639172150" TargetMode="External" Id="rId29"/><Relationship Type="http://schemas.openxmlformats.org/officeDocument/2006/relationships/hyperlink" Target="https://x.com/TheValueist/status/2009687551272210617" TargetMode="External" Id="rId30"/><Relationship Type="http://schemas.openxmlformats.org/officeDocument/2006/relationships/hyperlink" Target="https://x.com/crux_capital_" TargetMode="External" Id="rId31"/><Relationship Type="http://schemas.openxmlformats.org/officeDocument/2006/relationships/hyperlink" Target="https://x.com/BlackPantherCap" TargetMode="External" Id="rId32"/><Relationship Type="http://schemas.openxmlformats.org/officeDocument/2006/relationships/hyperlink" Target="https://x.com/DekmarTrades/status/1970455842924437675" TargetMode="External" Id="rId33"/><Relationship Type="http://schemas.openxmlformats.org/officeDocument/2006/relationships/hyperlink" Target="https://x.com/DekmarTrades/status/1970455842924437675" TargetMode="External" Id="rId34"/><Relationship Type="http://schemas.openxmlformats.org/officeDocument/2006/relationships/hyperlink" Target="https://x.com/CorleoneDon77/status/1866616257140728040" TargetMode="External" Id="rId35"/><Relationship Type="http://schemas.openxmlformats.org/officeDocument/2006/relationships/hyperlink" Target="https://x.com/CorleoneDon77" TargetMode="External" Id="rId36"/><Relationship Type="http://schemas.openxmlformats.org/officeDocument/2006/relationships/hyperlink" Target="https://x.com/KevinLMak/status/1796744049497403870" TargetMode="External" Id="rId37"/><Relationship Type="http://schemas.openxmlformats.org/officeDocument/2006/relationships/hyperlink" Target="https://x.com/ASTS_SpaceMob" TargetMode="External" Id="rId38"/><Relationship Type="http://schemas.openxmlformats.org/officeDocument/2006/relationships/hyperlink" Target="https://x.com/SpaceInvestor_D" TargetMode="External" Id="rId39"/><Relationship Type="http://schemas.openxmlformats.org/officeDocument/2006/relationships/hyperlink" Target="https://x.com/SpaceInvestor_D" TargetMode="External" Id="rId40"/><Relationship Type="http://schemas.openxmlformats.org/officeDocument/2006/relationships/hyperlink" Target="https://x.com/Analytica_X/status/1949458210932326732" TargetMode="External" Id="rId41"/><Relationship Type="http://schemas.openxmlformats.org/officeDocument/2006/relationships/hyperlink" Target="https://x.com/Thebullwhisper" TargetMode="External" Id="rId42"/><Relationship Type="http://schemas.openxmlformats.org/officeDocument/2006/relationships/hyperlink" Target="https://x.com/TheValueist/status/1953608927293153628" TargetMode="External" Id="rId43"/><Relationship Type="http://schemas.openxmlformats.org/officeDocument/2006/relationships/hyperlink" Target="https://x.com/TheValueist/status/1953608927293153628" TargetMode="External" Id="rId44"/><Relationship Type="http://schemas.openxmlformats.org/officeDocument/2006/relationships/hyperlink" Target="https://x.com/Clayhams1/status/1978636447025705213" TargetMode="External" Id="rId45"/><Relationship Type="http://schemas.openxmlformats.org/officeDocument/2006/relationships/hyperlink" Target="https://x.com/DeNebulord/status/2013008329027502438" TargetMode="External" Id="rId46"/><Relationship Type="http://schemas.openxmlformats.org/officeDocument/2006/relationships/hyperlink" Target="https://x.com/Minnvestor/status/1851698973821513794" TargetMode="External" Id="rId47"/><Relationship Type="http://schemas.openxmlformats.org/officeDocument/2006/relationships/hyperlink" Target="https://x.com/Share_Talk" TargetMode="External" Id="rId48"/><Relationship Type="http://schemas.openxmlformats.org/officeDocument/2006/relationships/hyperlink" Target="https://x.com/ascharya108/status/1970510054848606470" TargetMode="External" Id="rId49"/><Relationship Type="http://schemas.openxmlformats.org/officeDocument/2006/relationships/hyperlink" Target="https://x.com/BlackScholesMan/status/2016537331281403939" TargetMode="External" Id="rId50"/><Relationship Type="http://schemas.openxmlformats.org/officeDocument/2006/relationships/hyperlink" Target="https://x.com/Analytica_X/status/1987496343699370285" TargetMode="External" Id="rId51"/><Relationship Type="http://schemas.openxmlformats.org/officeDocument/2006/relationships/hyperlink" Target="https://x.com/adudetrading" TargetMode="External" Id="rId52"/><Relationship Type="http://schemas.openxmlformats.org/officeDocument/2006/relationships/hyperlink" Target="https://x.com/YieldCurveBalI/status/1906717314575397222" TargetMode="External" Id="rId53"/><Relationship Type="http://schemas.openxmlformats.org/officeDocument/2006/relationships/hyperlink" Target="https://x.com/aleabitoreddit" TargetMode="External" Id="rId54"/><Relationship Type="http://schemas.openxmlformats.org/officeDocument/2006/relationships/hyperlink" Target="https://x.com/MNTonX/status/1978894285471645995" TargetMode="External" Id="rId55"/><Relationship Type="http://schemas.openxmlformats.org/officeDocument/2006/relationships/hyperlink" Target="https://x.com/tradergokux/status/1988721943907123544" TargetMode="External" Id="rId56"/><Relationship Type="http://schemas.openxmlformats.org/officeDocument/2006/relationships/hyperlink" Target="https://x.com/tamsa00700/status/1983715154044051927" TargetMode="External" Id="rId57"/><Relationship Type="http://schemas.openxmlformats.org/officeDocument/2006/relationships/hyperlink" Target="https://x.com/MapleLeafCap/status/2016175070721544421" TargetMode="External" Id="rId58"/><Relationship Type="http://schemas.openxmlformats.org/officeDocument/2006/relationships/hyperlink" Target="https://x.com/Alexsei88" TargetMode="External" Id="rId59"/><Relationship Type="http://schemas.openxmlformats.org/officeDocument/2006/relationships/hyperlink" Target="https://x.com/Alexsei88" TargetMode="External" Id="rId60"/><Relationship Type="http://schemas.openxmlformats.org/officeDocument/2006/relationships/hyperlink" Target="https://x.com/ascharya108" TargetMode="External" Id="rId61"/></Relationships>
</file>

<file path=xl/worksheets/_rels/sheet6.xml.rels><Relationships xmlns="http://schemas.openxmlformats.org/package/2006/relationships"><Relationship Type="http://schemas.openxmlformats.org/officeDocument/2006/relationships/hyperlink" Target="https://x.com/DekmarTrades/status/1970455842924437675" TargetMode="External" Id="rId1"/><Relationship Type="http://schemas.openxmlformats.org/officeDocument/2006/relationships/hyperlink" Target="https://x.com/DekmarTrades/status/1970455842924437675" TargetMode="External" Id="rId2"/><Relationship Type="http://schemas.openxmlformats.org/officeDocument/2006/relationships/hyperlink" Target="https://x.com/DekmarTrades/status/1970455842924437675" TargetMode="External" Id="rId3"/><Relationship Type="http://schemas.openxmlformats.org/officeDocument/2006/relationships/hyperlink" Target="https://x.com/LizClaman" TargetMode="External" Id="rId4"/><Relationship Type="http://schemas.openxmlformats.org/officeDocument/2006/relationships/hyperlink" Target="https://x.com/LizClaman/status/1966530494159368440" TargetMode="External" Id="rId5"/><Relationship Type="http://schemas.openxmlformats.org/officeDocument/2006/relationships/hyperlink" Target="https://x.com/TipRanks" TargetMode="External" Id="rId6"/><Relationship Type="http://schemas.openxmlformats.org/officeDocument/2006/relationships/hyperlink" Target="https://x.com/LaMonicaBuzz/status/1975635080484954184" TargetMode="External" Id="rId7"/><Relationship Type="http://schemas.openxmlformats.org/officeDocument/2006/relationships/hyperlink" Target="https://x.com/LionelHutz_Esq/status/1817837593326715216" TargetMode="External" Id="rId8"/><Relationship Type="http://schemas.openxmlformats.org/officeDocument/2006/relationships/hyperlink" Target="https://x.com/LionelHutz_Esq/status/1817837593326715216" TargetMode="External" Id="rId9"/><Relationship Type="http://schemas.openxmlformats.org/officeDocument/2006/relationships/hyperlink" Target="https://x.com/aleabitoreddit/status/2007758407948788162" TargetMode="External" Id="rId10"/><Relationship Type="http://schemas.openxmlformats.org/officeDocument/2006/relationships/hyperlink" Target="https://x.com/aleabitoreddit/status/2007758407948788162" TargetMode="External" Id="rId11"/><Relationship Type="http://schemas.openxmlformats.org/officeDocument/2006/relationships/hyperlink" Target="https://x.com/wa7ermelon" TargetMode="External" Id="rId12"/><Relationship Type="http://schemas.openxmlformats.org/officeDocument/2006/relationships/hyperlink" Target="https://x.com/BarnyardBull72" TargetMode="External" Id="rId13"/><Relationship Type="http://schemas.openxmlformats.org/officeDocument/2006/relationships/hyperlink" Target="https://x.com/thehustlebrosyt" TargetMode="External" Id="rId14"/><Relationship Type="http://schemas.openxmlformats.org/officeDocument/2006/relationships/hyperlink" Target="https://x.com/thehustlebrosyt/status/1961530309767282712" TargetMode="External" Id="rId15"/><Relationship Type="http://schemas.openxmlformats.org/officeDocument/2006/relationships/hyperlink" Target="https://x.com/fundmyfund" TargetMode="External" Id="rId16"/><Relationship Type="http://schemas.openxmlformats.org/officeDocument/2006/relationships/hyperlink" Target="https://x.com/fundmyfund/status/2012854663607898179?s=20" TargetMode="External" Id="rId17"/><Relationship Type="http://schemas.openxmlformats.org/officeDocument/2006/relationships/hyperlink" Target="https://x.com/itech_analyst/status/1838611381639172150" TargetMode="External" Id="rId18"/><Relationship Type="http://schemas.openxmlformats.org/officeDocument/2006/relationships/hyperlink" Target="https://x.com/itech_analyst/status/1838611381639172150" TargetMode="External" Id="rId19"/><Relationship Type="http://schemas.openxmlformats.org/officeDocument/2006/relationships/hyperlink" Target="https://x.com/TheValueist/status/2009687551272210617" TargetMode="External" Id="rId20"/><Relationship Type="http://schemas.openxmlformats.org/officeDocument/2006/relationships/hyperlink" Target="https://x.com/TheValueist/status/2009687551272210617" TargetMode="External" Id="rId21"/><Relationship Type="http://schemas.openxmlformats.org/officeDocument/2006/relationships/hyperlink" Target="https://x.com/Venu_7_" TargetMode="External" Id="rId22"/><Relationship Type="http://schemas.openxmlformats.org/officeDocument/2006/relationships/hyperlink" Target="https://x.com/Venu_7_/status/1982459975210590675" TargetMode="External" Id="rId23"/><Relationship Type="http://schemas.openxmlformats.org/officeDocument/2006/relationships/hyperlink" Target="https://x.com/RedDogT3" TargetMode="External" Id="rId24"/><Relationship Type="http://schemas.openxmlformats.org/officeDocument/2006/relationships/hyperlink" Target="https://x.com/Venu_7_/status/1982459975210590675" TargetMode="External" Id="rId25"/><Relationship Type="http://schemas.openxmlformats.org/officeDocument/2006/relationships/hyperlink" Target="https://x.com/TheValueist" TargetMode="External" Id="rId26"/><Relationship Type="http://schemas.openxmlformats.org/officeDocument/2006/relationships/hyperlink" Target="https://x.com/TheValueist/status/2009687481298321617" TargetMode="External" Id="rId27"/><Relationship Type="http://schemas.openxmlformats.org/officeDocument/2006/relationships/hyperlink" Target="https://x.com/TheValueist" TargetMode="External" Id="rId28"/><Relationship Type="http://schemas.openxmlformats.org/officeDocument/2006/relationships/hyperlink" Target="https://x.com/TheValueist/status/2009687481298321617" TargetMode="External" Id="rId29"/><Relationship Type="http://schemas.openxmlformats.org/officeDocument/2006/relationships/hyperlink" Target="https://x.com/TentyTheToitle" TargetMode="External" Id="rId30"/><Relationship Type="http://schemas.openxmlformats.org/officeDocument/2006/relationships/hyperlink" Target="https://x.com/TentyTheToitle/status/1898062935542444477" TargetMode="External" Id="rId31"/><Relationship Type="http://schemas.openxmlformats.org/officeDocument/2006/relationships/hyperlink" Target="https://x.com/RobertMarcin" TargetMode="External" Id="rId32"/><Relationship Type="http://schemas.openxmlformats.org/officeDocument/2006/relationships/hyperlink" Target="https://x.com/TheRonnieVShow" TargetMode="External" Id="rId33"/><Relationship Type="http://schemas.openxmlformats.org/officeDocument/2006/relationships/hyperlink" Target="https://x.com/TheRonnieVShow/status/1936569653696074103" TargetMode="External" Id="rId34"/><Relationship Type="http://schemas.openxmlformats.org/officeDocument/2006/relationships/hyperlink" Target="https://x.com/MrMikeInvesting" TargetMode="External" Id="rId35"/><Relationship Type="http://schemas.openxmlformats.org/officeDocument/2006/relationships/hyperlink" Target="https://x.com/LeaderInvests/status/2011054315511710179" TargetMode="External" Id="rId36"/></Relationships>
</file>

<file path=xl/worksheets/sheet1.xml><?xml version="1.0" encoding="utf-8"?>
<worksheet xmlns="http://schemas.openxmlformats.org/spreadsheetml/2006/main">
  <sheetPr>
    <outlinePr summaryBelow="1" summaryRight="1"/>
    <pageSetUpPr/>
  </sheetPr>
  <dimension ref="A1:K122"/>
  <sheetViews>
    <sheetView workbookViewId="0">
      <pane ySplit="1" topLeftCell="A2" activePane="bottomLeft" state="frozen"/>
      <selection pane="bottomLeft" activeCell="A1" sqref="A1"/>
    </sheetView>
  </sheetViews>
  <sheetFormatPr baseColWidth="8" defaultRowHeight="15"/>
  <cols>
    <col width="6" customWidth="1" style="41" min="1" max="1"/>
    <col width="10" customWidth="1" style="41" min="2" max="2"/>
    <col width="20" customWidth="1" style="41" min="3" max="3"/>
    <col width="25" customWidth="1" style="41" min="4" max="4"/>
    <col width="14" customWidth="1" style="41" min="5" max="5"/>
    <col width="16" customWidth="1" style="41" min="6" max="6"/>
    <col width="14" customWidth="1" style="41" min="7" max="7"/>
    <col width="12" customWidth="1" style="41" min="8" max="8"/>
    <col width="18" customWidth="1" style="41" min="9" max="9"/>
    <col width="12" customWidth="1" style="41" min="10" max="10"/>
    <col width="60" customWidth="1" style="41" min="11" max="11"/>
  </cols>
  <sheetData>
    <row r="1">
      <c r="A1" s="42" t="inlineStr">
        <is>
          <t>Rank</t>
        </is>
      </c>
      <c r="B1" s="42" t="inlineStr">
        <is>
          <t>Symbol</t>
        </is>
      </c>
      <c r="C1" s="42" t="inlineStr">
        <is>
          <t>Theme</t>
        </is>
      </c>
      <c r="D1" s="42" t="inlineStr">
        <is>
          <t>Sector</t>
        </is>
      </c>
      <c r="E1" s="42" t="inlineStr">
        <is>
          <t>Overall Score</t>
        </is>
      </c>
      <c r="F1" s="42" t="inlineStr">
        <is>
          <t>Momentum Score</t>
        </is>
      </c>
      <c r="G1" s="42" t="inlineStr">
        <is>
          <t>Theme Score</t>
        </is>
      </c>
      <c r="H1" s="42" t="inlineStr">
        <is>
          <t>Risk Score</t>
        </is>
      </c>
      <c r="I1" s="42" t="inlineStr">
        <is>
          <t>Social Buzz Score</t>
        </is>
      </c>
      <c r="J1" s="42" t="inlineStr">
        <is>
          <t>Perf YTD</t>
        </is>
      </c>
      <c r="K1" s="42" t="inlineStr">
        <is>
          <t>Brief Analysis</t>
        </is>
      </c>
    </row>
    <row r="2">
      <c r="A2" s="43" t="n">
        <v>1</v>
      </c>
      <c r="B2" s="44" t="inlineStr">
        <is>
          <t>UMAC</t>
        </is>
      </c>
      <c r="C2" s="45" t="inlineStr">
        <is>
          <t>Drone</t>
        </is>
      </c>
      <c r="D2" s="45" t="inlineStr">
        <is>
          <t>Defense</t>
        </is>
      </c>
      <c r="E2" s="46" t="n">
        <v>88</v>
      </c>
      <c r="F2" s="47" t="n">
        <v>95</v>
      </c>
      <c r="G2" s="47" t="n">
        <v>80</v>
      </c>
      <c r="H2" s="48" t="n">
        <v>65</v>
      </c>
      <c r="I2" s="47" t="n">
        <v>75</v>
      </c>
      <c r="J2" s="49" t="n">
        <v>0.5033161385</v>
      </c>
      <c r="K2" s="50" t="inlineStr">
        <is>
          <t>UMAC exhibits exceptional momentum with 18.06% weekly and 50.33% YTD gains, driven by strong thematic relevance in drones within defense. The presence of active KOLs enhances social buzz. Higher volatility due to sharp price moves increases risk moderately.</t>
        </is>
      </c>
    </row>
    <row r="3">
      <c r="A3" s="43" t="n">
        <v>2</v>
      </c>
      <c r="B3" s="44" t="inlineStr">
        <is>
          <t>EQRLF</t>
        </is>
      </c>
      <c r="C3" s="45" t="inlineStr"/>
      <c r="D3" s="45" t="inlineStr"/>
      <c r="E3" s="46" t="n">
        <v>85</v>
      </c>
      <c r="F3" s="47" t="n">
        <v>95</v>
      </c>
      <c r="G3" s="51" t="n">
        <v>20</v>
      </c>
      <c r="H3" s="51" t="n">
        <v>70</v>
      </c>
      <c r="I3" s="51" t="n">
        <v>10</v>
      </c>
      <c r="J3" s="49" t="n">
        <v>3.333333333</v>
      </c>
      <c r="K3" s="50" t="inlineStr">
        <is>
          <t>EQRLF shows exceptional YTD momentum with a 333.33% gain and strong recent weekly performance. However, lack of clear thematic relevance and minimal social buzz limit its appeal. High volatility contributes to a higher risk score.</t>
        </is>
      </c>
    </row>
    <row r="4">
      <c r="A4" s="43" t="n">
        <v>3</v>
      </c>
      <c r="B4" s="44" t="inlineStr">
        <is>
          <t>OSS</t>
        </is>
      </c>
      <c r="C4" s="45" t="inlineStr">
        <is>
          <t>Defense</t>
        </is>
      </c>
      <c r="D4" s="45" t="inlineStr">
        <is>
          <t>Defense</t>
        </is>
      </c>
      <c r="E4" s="46" t="n">
        <v>82</v>
      </c>
      <c r="F4" s="47" t="n">
        <v>80</v>
      </c>
      <c r="G4" s="47" t="n">
        <v>70</v>
      </c>
      <c r="H4" s="48" t="n">
        <v>55</v>
      </c>
      <c r="I4" s="47" t="n">
        <v>70</v>
      </c>
      <c r="J4" s="49" t="n">
        <v>0.4823529412</v>
      </c>
      <c r="K4" s="50" t="inlineStr">
        <is>
          <t>OSS maintains strong momentum with 13.26% weekly and 48.24% YTD gains in the defense sector. The theme is solid but less niche than drones, with good KOL support. Moderate volatility results in a balanced risk profile.</t>
        </is>
      </c>
    </row>
    <row r="5">
      <c r="A5" s="43" t="n">
        <v>4</v>
      </c>
      <c r="B5" s="44" t="inlineStr">
        <is>
          <t>AXTI</t>
        </is>
      </c>
      <c r="C5" s="45" t="inlineStr">
        <is>
          <t>Photonics</t>
        </is>
      </c>
      <c r="D5" s="45" t="inlineStr"/>
      <c r="E5" s="46" t="n">
        <v>80</v>
      </c>
      <c r="F5" s="47" t="n">
        <v>90</v>
      </c>
      <c r="G5" s="47" t="n">
        <v>75</v>
      </c>
      <c r="H5" s="48" t="n">
        <v>65</v>
      </c>
      <c r="I5" s="52" t="n">
        <v>60</v>
      </c>
      <c r="J5" s="49" t="n">
        <v>1.915274463</v>
      </c>
      <c r="K5" s="50" t="inlineStr">
        <is>
          <t>AXTI benefits from strong momentum and a relevant photonics theme, which is gaining traction. Good social media presence supports its visibility. Moderate risk due to volatility but overall attractive for thematic investors.</t>
        </is>
      </c>
    </row>
    <row r="6">
      <c r="A6" s="43" t="n">
        <v>5</v>
      </c>
      <c r="B6" s="44" t="inlineStr">
        <is>
          <t>LASR</t>
        </is>
      </c>
      <c r="C6" s="45" t="inlineStr">
        <is>
          <t>Defense</t>
        </is>
      </c>
      <c r="D6" s="45" t="inlineStr"/>
      <c r="E6" s="46" t="n">
        <v>80</v>
      </c>
      <c r="F6" s="47" t="n">
        <v>85</v>
      </c>
      <c r="G6" s="47" t="n">
        <v>75</v>
      </c>
      <c r="H6" s="48" t="n">
        <v>50</v>
      </c>
      <c r="I6" s="47" t="n">
        <v>70</v>
      </c>
      <c r="J6" s="49" t="n">
        <v>0.6314829293999999</v>
      </c>
      <c r="K6" s="50" t="inlineStr">
        <is>
          <t>LASR shows strong YTD momentum with 63.15% gain and moderate weekly growth, reflecting solid price performance. Its defense theme is highly relevant in 2025, supported by notable KOLs, boosting social buzz. Moderate volatility keeps risk at a balanced level.</t>
        </is>
      </c>
    </row>
    <row r="7">
      <c r="A7" s="43" t="n">
        <v>6</v>
      </c>
      <c r="B7" s="44" t="inlineStr">
        <is>
          <t>LFMD</t>
        </is>
      </c>
      <c r="C7" s="45" t="inlineStr">
        <is>
          <t>GLP-1</t>
        </is>
      </c>
      <c r="D7" s="45" t="inlineStr">
        <is>
          <t>Biotech &amp; Pharma</t>
        </is>
      </c>
      <c r="E7" s="46" t="n">
        <v>80</v>
      </c>
      <c r="F7" s="47" t="n">
        <v>90</v>
      </c>
      <c r="G7" s="47" t="n">
        <v>75</v>
      </c>
      <c r="H7" s="48" t="n">
        <v>65</v>
      </c>
      <c r="I7" s="47" t="n">
        <v>70</v>
      </c>
      <c r="J7" s="49" t="n">
        <v>0.1404011461</v>
      </c>
      <c r="K7" s="50" t="inlineStr">
        <is>
          <t>LFMD exhibits exceptional recent momentum with strong weekly and daily gains. GLP-1 theme remains highly relevant in biotech. Good social buzz from KOLs supports interest, though volatility raises risk moderately.</t>
        </is>
      </c>
    </row>
    <row r="8">
      <c r="A8" s="43" t="n">
        <v>7</v>
      </c>
      <c r="B8" s="44" t="inlineStr">
        <is>
          <t>AMPX</t>
        </is>
      </c>
      <c r="C8" s="45" t="inlineStr">
        <is>
          <t>Battery</t>
        </is>
      </c>
      <c r="D8" s="45" t="inlineStr">
        <is>
          <t>Semis, Optics &amp; Edge AI</t>
        </is>
      </c>
      <c r="E8" s="46" t="n">
        <v>78</v>
      </c>
      <c r="F8" s="52" t="n">
        <v>60</v>
      </c>
      <c r="G8" s="47" t="n">
        <v>80</v>
      </c>
      <c r="H8" s="48" t="n">
        <v>55</v>
      </c>
      <c r="I8" s="52" t="n">
        <v>50</v>
      </c>
      <c r="J8" s="49" t="n">
        <v>1.053775744</v>
      </c>
      <c r="K8" s="50" t="inlineStr">
        <is>
          <t>AMPX has a strong theme with solid state batteries and edge AI relevance. Momentum is moderate but steady. Social buzz is decent and risk is moderate due to sector volatility.</t>
        </is>
      </c>
    </row>
    <row r="9">
      <c r="A9" s="43" t="n">
        <v>8</v>
      </c>
      <c r="B9" s="44" t="inlineStr">
        <is>
          <t>CRCL</t>
        </is>
      </c>
      <c r="C9" s="45" t="inlineStr">
        <is>
          <t>Stablecoin</t>
        </is>
      </c>
      <c r="D9" s="45" t="inlineStr">
        <is>
          <t>Fintech &amp; Crypto</t>
        </is>
      </c>
      <c r="E9" s="46" t="n">
        <v>78</v>
      </c>
      <c r="F9" s="47" t="n">
        <v>75</v>
      </c>
      <c r="G9" s="47" t="n">
        <v>70</v>
      </c>
      <c r="H9" s="48" t="n">
        <v>60</v>
      </c>
      <c r="I9" s="47" t="n">
        <v>75</v>
      </c>
      <c r="J9" s="49" t="n">
        <v>0.3822930394</v>
      </c>
      <c r="K9" s="50" t="inlineStr">
        <is>
          <t>CRCL benefits from a strong thematic play in stablecoins within fintech &amp; crypto, with solid YTD and weekly gains plus a very strong specific date performance. Good KOL support boosts social buzz. Volatility is moderate, resulting in a medium risk score.</t>
        </is>
      </c>
    </row>
    <row r="10">
      <c r="A10" s="43" t="n">
        <v>9</v>
      </c>
      <c r="B10" s="44" t="inlineStr">
        <is>
          <t>FSLY</t>
        </is>
      </c>
      <c r="C10" s="45" t="inlineStr"/>
      <c r="D10" s="45" t="inlineStr"/>
      <c r="E10" s="46" t="n">
        <v>75</v>
      </c>
      <c r="F10" s="47" t="n">
        <v>80</v>
      </c>
      <c r="G10" s="51" t="n">
        <v>25</v>
      </c>
      <c r="H10" s="48" t="n">
        <v>60</v>
      </c>
      <c r="I10" s="52" t="n">
        <v>55</v>
      </c>
      <c r="J10" s="49" t="n">
        <v>1.412168793</v>
      </c>
      <c r="K10" s="50" t="inlineStr">
        <is>
          <t>FSLY shows solid momentum and decent social media backing but lacks a strong thematic angle. Moderate risk due to volatility and steady performance make it a balanced pick.</t>
        </is>
      </c>
    </row>
    <row r="11">
      <c r="A11" s="43" t="n">
        <v>10</v>
      </c>
      <c r="B11" s="44" t="inlineStr">
        <is>
          <t>PSRHF</t>
        </is>
      </c>
      <c r="C11" s="45" t="inlineStr">
        <is>
          <t>Helium 3</t>
        </is>
      </c>
      <c r="D11" s="45" t="inlineStr"/>
      <c r="E11" s="46" t="n">
        <v>75</v>
      </c>
      <c r="F11" s="47" t="n">
        <v>85</v>
      </c>
      <c r="G11" s="47" t="n">
        <v>70</v>
      </c>
      <c r="H11" s="48" t="n">
        <v>60</v>
      </c>
      <c r="I11" s="52" t="n">
        <v>55</v>
      </c>
      <c r="J11" s="49" t="n">
        <v>1.193548387</v>
      </c>
      <c r="K11" s="50" t="inlineStr">
        <is>
          <t>PSRHF benefits from strong momentum and a niche Helium 3 theme with future potential. Social buzz is good, supporting interest. Moderate risk due to volatility.</t>
        </is>
      </c>
    </row>
    <row r="12">
      <c r="A12" s="43" t="n">
        <v>11</v>
      </c>
      <c r="B12" s="44" t="inlineStr">
        <is>
          <t>IRDM</t>
        </is>
      </c>
      <c r="C12" s="45" t="inlineStr">
        <is>
          <t>Aerospace</t>
        </is>
      </c>
      <c r="D12" s="45" t="inlineStr">
        <is>
          <t>Defense</t>
        </is>
      </c>
      <c r="E12" s="46" t="n">
        <v>75</v>
      </c>
      <c r="F12" s="47" t="n">
        <v>70</v>
      </c>
      <c r="G12" s="52" t="n">
        <v>65</v>
      </c>
      <c r="H12" s="48" t="n">
        <v>50</v>
      </c>
      <c r="I12" s="47" t="n">
        <v>70</v>
      </c>
      <c r="J12" s="49" t="n">
        <v>0.3997747748</v>
      </c>
      <c r="K12" s="50" t="inlineStr">
        <is>
          <t>IRDM shows steady momentum with positive weekly and YTD returns in the defense DSCS niche, which is relevant but less hot than drones or AI. Strong KOL backing enhances social buzz. Risk remains moderate due to balanced volatility.</t>
        </is>
      </c>
    </row>
    <row r="13">
      <c r="A13" s="43" t="n">
        <v>12</v>
      </c>
      <c r="B13" s="44" t="inlineStr">
        <is>
          <t>NBIS</t>
        </is>
      </c>
      <c r="C13" s="45" t="inlineStr">
        <is>
          <t>AI Hyperscaler</t>
        </is>
      </c>
      <c r="D13" s="45" t="inlineStr"/>
      <c r="E13" s="46" t="n">
        <v>75</v>
      </c>
      <c r="F13" s="47" t="n">
        <v>80</v>
      </c>
      <c r="G13" s="47" t="n">
        <v>75</v>
      </c>
      <c r="H13" s="48" t="n">
        <v>55</v>
      </c>
      <c r="I13" s="47" t="n">
        <v>75</v>
      </c>
      <c r="J13" s="49" t="n">
        <v>0.2556976098</v>
      </c>
      <c r="K13" s="50" t="inlineStr">
        <is>
          <t>NBIS benefits from strong momentum and a relevant AI hyperscaler theme, which is highly attractive in 2025. Good KOL support drives social buzz. Moderate risk due to balanced volatility.</t>
        </is>
      </c>
    </row>
    <row r="14">
      <c r="A14" s="43" t="n">
        <v>13</v>
      </c>
      <c r="B14" s="44" t="inlineStr">
        <is>
          <t>PL</t>
        </is>
      </c>
      <c r="C14" s="45" t="inlineStr">
        <is>
          <t>Aerospace</t>
        </is>
      </c>
      <c r="D14" s="45" t="inlineStr">
        <is>
          <t>Aerospace</t>
        </is>
      </c>
      <c r="E14" s="46" t="n">
        <v>75</v>
      </c>
      <c r="F14" s="52" t="n">
        <v>65</v>
      </c>
      <c r="G14" s="47" t="n">
        <v>80</v>
      </c>
      <c r="H14" s="48" t="n">
        <v>55</v>
      </c>
      <c r="I14" s="47" t="n">
        <v>70</v>
      </c>
      <c r="J14" s="49" t="n">
        <v>0.2146006859</v>
      </c>
      <c r="K14" s="50" t="inlineStr">
        <is>
          <t>PL benefits from strong aerospace theme aligned with market trends and solid YTD gains. Recent slight pullback reduces momentum slightly. Good social buzz from AI and investing KOLs enhances attractiveness with moderate risk.</t>
        </is>
      </c>
    </row>
    <row r="15">
      <c r="A15" s="43" t="n">
        <v>14</v>
      </c>
      <c r="B15" s="44" t="inlineStr">
        <is>
          <t>AAOI</t>
        </is>
      </c>
      <c r="C15" s="45" t="inlineStr">
        <is>
          <t>Photonics</t>
        </is>
      </c>
      <c r="D15" s="45" t="inlineStr"/>
      <c r="E15" s="46" t="n">
        <v>70</v>
      </c>
      <c r="F15" s="52" t="n">
        <v>50</v>
      </c>
      <c r="G15" s="47" t="n">
        <v>70</v>
      </c>
      <c r="H15" s="51" t="n">
        <v>75</v>
      </c>
      <c r="I15" s="52" t="n">
        <v>60</v>
      </c>
      <c r="J15" s="49" t="n">
        <v>1.44469697</v>
      </c>
      <c r="K15" s="50" t="inlineStr">
        <is>
          <t>AAOI has strong thematic relevance in photonics but recent negative momentum weighs on its score. Social buzz is decent, supporting interest. Higher volatility increases risk, making it a cautious thematic play.</t>
        </is>
      </c>
    </row>
    <row r="16">
      <c r="A16" s="43" t="n">
        <v>15</v>
      </c>
      <c r="B16" s="44" t="inlineStr">
        <is>
          <t>RCAT</t>
        </is>
      </c>
      <c r="C16" s="45" t="inlineStr">
        <is>
          <t>Drone</t>
        </is>
      </c>
      <c r="D16" s="45" t="inlineStr">
        <is>
          <t>Defense</t>
        </is>
      </c>
      <c r="E16" s="46" t="n">
        <v>70</v>
      </c>
      <c r="F16" s="47" t="n">
        <v>75</v>
      </c>
      <c r="G16" s="52" t="n">
        <v>65</v>
      </c>
      <c r="H16" s="48" t="n">
        <v>55</v>
      </c>
      <c r="I16" s="52" t="n">
        <v>50</v>
      </c>
      <c r="J16" s="49" t="n">
        <v>0.731441048</v>
      </c>
      <c r="K16" s="50" t="inlineStr">
        <is>
          <t>RCAT has solid momentum and a relevant defense drone theme. Social buzz is moderate, and risk is relatively contained, making it an attractive thematic play.</t>
        </is>
      </c>
    </row>
    <row r="17">
      <c r="A17" s="43" t="n">
        <v>16</v>
      </c>
      <c r="B17" s="44" t="inlineStr">
        <is>
          <t>NVTS</t>
        </is>
      </c>
      <c r="C17" s="45" t="inlineStr"/>
      <c r="D17" s="45" t="inlineStr"/>
      <c r="E17" s="46" t="n">
        <v>70</v>
      </c>
      <c r="F17" s="47" t="n">
        <v>80</v>
      </c>
      <c r="G17" s="48" t="n">
        <v>40</v>
      </c>
      <c r="H17" s="48" t="n">
        <v>55</v>
      </c>
      <c r="I17" s="48" t="n">
        <v>40</v>
      </c>
      <c r="J17" s="49" t="n">
        <v>0.2052505967</v>
      </c>
      <c r="K17" s="50" t="inlineStr">
        <is>
          <t>NVTS shows strong momentum with 20.53% weekly and YTD gains but lacks a clear thematic focus and KOL backing, limiting theme and social buzz scores. Risk is moderate due to volatility.</t>
        </is>
      </c>
    </row>
    <row r="18">
      <c r="A18" s="43" t="n">
        <v>17</v>
      </c>
      <c r="B18" s="44" t="inlineStr">
        <is>
          <t>STM</t>
        </is>
      </c>
      <c r="C18" s="45" t="inlineStr">
        <is>
          <t>Aerospace</t>
        </is>
      </c>
      <c r="D18" s="45" t="inlineStr"/>
      <c r="E18" s="46" t="n">
        <v>70</v>
      </c>
      <c r="F18" s="52" t="n">
        <v>60</v>
      </c>
      <c r="G18" s="47" t="n">
        <v>75</v>
      </c>
      <c r="H18" s="48" t="n">
        <v>50</v>
      </c>
      <c r="I18" s="52" t="n">
        <v>50</v>
      </c>
      <c r="J18" s="49" t="n">
        <v>0.2009499452</v>
      </c>
      <c r="K18" s="50" t="inlineStr">
        <is>
          <t>STM has solid aerospace thematic relevance and decent YTD performance. Recent mild decline affects momentum. Social buzz is moderate with some KOL presence. Risk is moderate due to steady performance.</t>
        </is>
      </c>
    </row>
    <row r="19">
      <c r="A19" s="43" t="n">
        <v>18</v>
      </c>
      <c r="B19" s="44" t="inlineStr">
        <is>
          <t>GDRZF</t>
        </is>
      </c>
      <c r="C19" s="45" t="inlineStr">
        <is>
          <t>Venezula</t>
        </is>
      </c>
      <c r="D19" s="45" t="inlineStr"/>
      <c r="E19" s="53" t="n">
        <v>65</v>
      </c>
      <c r="F19" s="47" t="n">
        <v>70</v>
      </c>
      <c r="G19" s="48" t="n">
        <v>40</v>
      </c>
      <c r="H19" s="51" t="n">
        <v>80</v>
      </c>
      <c r="I19" s="52" t="n">
        <v>50</v>
      </c>
      <c r="J19" s="49" t="n">
        <v>1.857142857</v>
      </c>
      <c r="K19" s="50" t="inlineStr">
        <is>
          <t>GDRZF has strong YTD gains but recent negative momentum. The Venezuela theme is niche but relevant for geopolitical plays. Moderate social buzz from known contributors helps, but volatility and geopolitical risks increase risk.</t>
        </is>
      </c>
    </row>
    <row r="20">
      <c r="A20" s="43" t="n">
        <v>19</v>
      </c>
      <c r="B20" s="44" t="inlineStr">
        <is>
          <t>UCTT</t>
        </is>
      </c>
      <c r="C20" s="45" t="inlineStr"/>
      <c r="D20" s="45" t="inlineStr"/>
      <c r="E20" s="53" t="n">
        <v>65</v>
      </c>
      <c r="F20" s="52" t="n">
        <v>60</v>
      </c>
      <c r="G20" s="51" t="n">
        <v>20</v>
      </c>
      <c r="H20" s="48" t="n">
        <v>50</v>
      </c>
      <c r="I20" s="48" t="n">
        <v>45</v>
      </c>
      <c r="J20" s="49" t="n">
        <v>1.012079063</v>
      </c>
      <c r="K20" s="50" t="inlineStr">
        <is>
          <t>UCTT shows moderate momentum and social buzz but lacks a strong thematic play. Risk is moderate with stable performance, making it a cautious option.</t>
        </is>
      </c>
    </row>
    <row r="21">
      <c r="A21" s="43" t="n">
        <v>20</v>
      </c>
      <c r="B21" s="44" t="inlineStr">
        <is>
          <t>UAMY</t>
        </is>
      </c>
      <c r="C21" s="45" t="inlineStr">
        <is>
          <t>Rare Earth</t>
        </is>
      </c>
      <c r="D21" s="45" t="inlineStr">
        <is>
          <t>Defense</t>
        </is>
      </c>
      <c r="E21" s="53" t="n">
        <v>65</v>
      </c>
      <c r="F21" s="52" t="n">
        <v>55</v>
      </c>
      <c r="G21" s="52" t="n">
        <v>60</v>
      </c>
      <c r="H21" s="48" t="n">
        <v>60</v>
      </c>
      <c r="I21" s="48" t="n">
        <v>45</v>
      </c>
      <c r="J21" s="49" t="n">
        <v>0.5548060708</v>
      </c>
      <c r="K21" s="50" t="inlineStr">
        <is>
          <t>UAMY benefits from a relevant rare earth defense theme and moderate social buzz. Momentum is modest and risk is moderate due to sector volatility.</t>
        </is>
      </c>
    </row>
    <row r="22">
      <c r="A22" s="43" t="n">
        <v>21</v>
      </c>
      <c r="B22" s="44" t="inlineStr">
        <is>
          <t>HIMX</t>
        </is>
      </c>
      <c r="C22" s="45" t="inlineStr"/>
      <c r="D22" s="45" t="inlineStr"/>
      <c r="E22" s="53" t="n">
        <v>65</v>
      </c>
      <c r="F22" s="47" t="n">
        <v>75</v>
      </c>
      <c r="G22" s="48" t="n">
        <v>40</v>
      </c>
      <c r="H22" s="48" t="n">
        <v>60</v>
      </c>
      <c r="I22" s="48" t="n">
        <v>40</v>
      </c>
      <c r="J22" s="49" t="n">
        <v>0.1535756155</v>
      </c>
      <c r="K22" s="50" t="inlineStr">
        <is>
          <t>HIMX shows strong recent momentum with a 27.46% weekly gain but modest YTD performance. Lack of a clear theme and absence of KOL backing reduce theme and social buzz scores. Moderate risk due to volatility.</t>
        </is>
      </c>
    </row>
    <row r="23">
      <c r="A23" s="43" t="n">
        <v>22</v>
      </c>
      <c r="B23" s="44" t="inlineStr">
        <is>
          <t>VELO</t>
        </is>
      </c>
      <c r="C23" s="45" t="inlineStr">
        <is>
          <t>Aerospace</t>
        </is>
      </c>
      <c r="D23" s="45" t="inlineStr"/>
      <c r="E23" s="53" t="n">
        <v>65</v>
      </c>
      <c r="F23" s="47" t="n">
        <v>75</v>
      </c>
      <c r="G23" s="47" t="n">
        <v>75</v>
      </c>
      <c r="H23" s="51" t="n">
        <v>70</v>
      </c>
      <c r="I23" s="47" t="n">
        <v>70</v>
      </c>
      <c r="J23" s="49" t="n">
        <v>-0.1495778046</v>
      </c>
      <c r="K23" s="50" t="inlineStr">
        <is>
          <t>VELO in aerospace shows strong recent momentum with a big spike, solid thematic relevance, and good social buzz from KOLs. Risk is elevated due to volatility but overall attractiveness is high.</t>
        </is>
      </c>
    </row>
    <row r="24">
      <c r="A24" s="43" t="n">
        <v>23</v>
      </c>
      <c r="B24" s="44" t="inlineStr">
        <is>
          <t>SOLS</t>
        </is>
      </c>
      <c r="C24" s="45" t="inlineStr"/>
      <c r="D24" s="45" t="inlineStr"/>
      <c r="E24" s="53" t="n">
        <v>62</v>
      </c>
      <c r="F24" s="52" t="n">
        <v>55</v>
      </c>
      <c r="G24" s="48" t="n">
        <v>40</v>
      </c>
      <c r="H24" s="48" t="n">
        <v>55</v>
      </c>
      <c r="I24" s="52" t="n">
        <v>60</v>
      </c>
      <c r="J24" s="49" t="n">
        <v>0.4857954545</v>
      </c>
      <c r="K24" s="50" t="inlineStr">
        <is>
          <t>SOLS has modest negative weekly momentum but decent YTD gains. The lack of a clear theme reduces thematic appeal. KOL support is moderate, and risk is balanced with moderate volatility.</t>
        </is>
      </c>
    </row>
    <row r="25">
      <c r="A25" s="43" t="n">
        <v>24</v>
      </c>
      <c r="B25" s="44" t="inlineStr">
        <is>
          <t>ALM</t>
        </is>
      </c>
      <c r="C25" s="45" t="inlineStr"/>
      <c r="D25" s="45" t="inlineStr"/>
      <c r="E25" s="53" t="n">
        <v>60</v>
      </c>
      <c r="F25" s="52" t="n">
        <v>55</v>
      </c>
      <c r="G25" s="51" t="n">
        <v>20</v>
      </c>
      <c r="H25" s="48" t="n">
        <v>50</v>
      </c>
      <c r="I25" s="48" t="n">
        <v>40</v>
      </c>
      <c r="J25" s="49" t="n">
        <v>1.236363636</v>
      </c>
      <c r="K25" s="50" t="inlineStr">
        <is>
          <t>ALM has moderate YTD performance and minimal momentum recently. Lack of theme and moderate social buzz reduce attractiveness. Lower volatility results in moderate risk.</t>
        </is>
      </c>
    </row>
    <row r="26">
      <c r="A26" s="43" t="n">
        <v>25</v>
      </c>
      <c r="B26" s="44" t="inlineStr">
        <is>
          <t>ICHR</t>
        </is>
      </c>
      <c r="C26" s="45" t="inlineStr"/>
      <c r="D26" s="45" t="inlineStr"/>
      <c r="E26" s="53" t="n">
        <v>60</v>
      </c>
      <c r="F26" s="52" t="n">
        <v>50</v>
      </c>
      <c r="G26" s="51" t="n">
        <v>20</v>
      </c>
      <c r="H26" s="48" t="n">
        <v>55</v>
      </c>
      <c r="I26" s="48" t="n">
        <v>40</v>
      </c>
      <c r="J26" s="49" t="n">
        <v>1.02988731</v>
      </c>
      <c r="K26" s="50" t="inlineStr">
        <is>
          <t>ICHR has modest YTD gains but recent negative momentum. No clear theme and moderate social buzz limit its appeal. Risk is moderate due to some volatility.</t>
        </is>
      </c>
    </row>
    <row r="27">
      <c r="A27" s="43" t="n">
        <v>26</v>
      </c>
      <c r="B27" s="44" t="inlineStr">
        <is>
          <t>INTT</t>
        </is>
      </c>
      <c r="C27" s="45" t="inlineStr"/>
      <c r="D27" s="45" t="inlineStr"/>
      <c r="E27" s="53" t="n">
        <v>60</v>
      </c>
      <c r="F27" s="52" t="n">
        <v>55</v>
      </c>
      <c r="G27" s="51" t="n">
        <v>20</v>
      </c>
      <c r="H27" s="48" t="n">
        <v>50</v>
      </c>
      <c r="I27" s="48" t="n">
        <v>40</v>
      </c>
      <c r="J27" s="49" t="n">
        <v>0.8527851459</v>
      </c>
      <c r="K27" s="50" t="inlineStr">
        <is>
          <t>INTT shows moderate momentum and social buzz but lacks a strong thematic angle. Risk is moderate with steady performance.</t>
        </is>
      </c>
    </row>
    <row r="28">
      <c r="A28" s="43" t="n">
        <v>27</v>
      </c>
      <c r="B28" s="44" t="inlineStr">
        <is>
          <t>IPGP</t>
        </is>
      </c>
      <c r="C28" s="45" t="inlineStr"/>
      <c r="D28" s="45" t="inlineStr"/>
      <c r="E28" s="53" t="n">
        <v>60</v>
      </c>
      <c r="F28" s="48" t="n">
        <v>45</v>
      </c>
      <c r="G28" s="48" t="n">
        <v>40</v>
      </c>
      <c r="H28" s="48" t="n">
        <v>65</v>
      </c>
      <c r="I28" s="52" t="n">
        <v>60</v>
      </c>
      <c r="J28" s="49" t="n">
        <v>0.4824959914</v>
      </c>
      <c r="K28" s="50" t="inlineStr">
        <is>
          <t>IPGP shows negative short-term momentum with a strong YTD but recent declines, reflecting volatility. The absence of a strong thematic focus limits theme score. Solid KOL presence supports moderate social buzz, while risk is elevated due to price swings.</t>
        </is>
      </c>
    </row>
    <row r="29">
      <c r="A29" s="43" t="n">
        <v>28</v>
      </c>
      <c r="B29" s="44" t="inlineStr">
        <is>
          <t>KLIC</t>
        </is>
      </c>
      <c r="C29" s="45" t="inlineStr"/>
      <c r="D29" s="45" t="inlineStr"/>
      <c r="E29" s="53" t="n">
        <v>60</v>
      </c>
      <c r="F29" s="52" t="n">
        <v>50</v>
      </c>
      <c r="G29" s="48" t="n">
        <v>40</v>
      </c>
      <c r="H29" s="48" t="n">
        <v>55</v>
      </c>
      <c r="I29" s="52" t="n">
        <v>60</v>
      </c>
      <c r="J29" s="49" t="n">
        <v>0.3313340228</v>
      </c>
      <c r="K29" s="50" t="inlineStr">
        <is>
          <t>KLIC has moderate YTD gains but weak recent momentum and no clear thematic focus, limiting theme score. KOL support is moderate, and risk is balanced with moderate volatility.</t>
        </is>
      </c>
    </row>
    <row r="30">
      <c r="A30" s="43" t="n">
        <v>29</v>
      </c>
      <c r="B30" s="44" t="inlineStr">
        <is>
          <t>AREC</t>
        </is>
      </c>
      <c r="C30" s="45" t="inlineStr">
        <is>
          <t>Rare Earth</t>
        </is>
      </c>
      <c r="D30" s="45" t="inlineStr"/>
      <c r="E30" s="53" t="n">
        <v>60</v>
      </c>
      <c r="F30" s="52" t="n">
        <v>55</v>
      </c>
      <c r="G30" s="52" t="n">
        <v>65</v>
      </c>
      <c r="H30" s="48" t="n">
        <v>60</v>
      </c>
      <c r="I30" s="52" t="n">
        <v>55</v>
      </c>
      <c r="J30" s="49" t="n">
        <v>0.1433823529</v>
      </c>
      <c r="K30" s="50" t="inlineStr">
        <is>
          <t>AREC's rare earth theme is moderately relevant with decent YTD gains. Recent weekly decline impacts momentum slightly. Moderate social buzz from a single KOL and average risk due to volatility.</t>
        </is>
      </c>
    </row>
    <row r="31">
      <c r="A31" s="43" t="n">
        <v>30</v>
      </c>
      <c r="B31" s="44" t="inlineStr">
        <is>
          <t>NEE</t>
        </is>
      </c>
      <c r="C31" s="45" t="inlineStr">
        <is>
          <t>AI Energy</t>
        </is>
      </c>
      <c r="D31" s="45" t="inlineStr"/>
      <c r="E31" s="53" t="n">
        <v>60</v>
      </c>
      <c r="F31" s="52" t="n">
        <v>60</v>
      </c>
      <c r="G31" s="47" t="n">
        <v>70</v>
      </c>
      <c r="H31" s="47" t="n">
        <v>45</v>
      </c>
      <c r="I31" s="48" t="n">
        <v>40</v>
      </c>
      <c r="J31" s="49" t="n">
        <v>0.1464228345</v>
      </c>
      <c r="K31" s="50" t="inlineStr">
        <is>
          <t>NEE's AI Energy theme is relevant and YTD performance is decent. Momentum is stable with slight gains. Lack of KOL presence limits social buzz. Lower volatility results in lower risk.</t>
        </is>
      </c>
    </row>
    <row r="32">
      <c r="A32" s="43" t="n">
        <v>31</v>
      </c>
      <c r="B32" s="44" t="inlineStr">
        <is>
          <t>RDW</t>
        </is>
      </c>
      <c r="C32" s="45" t="inlineStr">
        <is>
          <t>Aerospace</t>
        </is>
      </c>
      <c r="D32" s="45" t="inlineStr">
        <is>
          <t>Aerospace</t>
        </is>
      </c>
      <c r="E32" s="53" t="n">
        <v>60</v>
      </c>
      <c r="F32" s="52" t="n">
        <v>65</v>
      </c>
      <c r="G32" s="47" t="n">
        <v>70</v>
      </c>
      <c r="H32" s="48" t="n">
        <v>50</v>
      </c>
      <c r="I32" s="52" t="n">
        <v>65</v>
      </c>
      <c r="J32" s="49" t="n">
        <v>0.06201550388</v>
      </c>
      <c r="K32" s="50" t="inlineStr">
        <is>
          <t>RDW shows decent momentum with strong recent daily gains and moderate YTD performance. Aerospace theme is relevant and supported by active KOLs. Risk remains moderate due to steady performance.</t>
        </is>
      </c>
    </row>
    <row r="33">
      <c r="A33" s="43" t="n">
        <v>32</v>
      </c>
      <c r="B33" s="44" t="inlineStr">
        <is>
          <t>VPG</t>
        </is>
      </c>
      <c r="C33" s="45" t="inlineStr">
        <is>
          <t>Robotics</t>
        </is>
      </c>
      <c r="D33" s="45" t="inlineStr"/>
      <c r="E33" s="53" t="n">
        <v>60</v>
      </c>
      <c r="F33" s="48" t="n">
        <v>35</v>
      </c>
      <c r="G33" s="47" t="n">
        <v>75</v>
      </c>
      <c r="H33" s="51" t="n">
        <v>70</v>
      </c>
      <c r="I33" s="47" t="n">
        <v>70</v>
      </c>
      <c r="J33" s="49" t="n">
        <v>0.04404276986</v>
      </c>
      <c r="K33" s="50" t="inlineStr">
        <is>
          <t>VPG operates in the Robotics theme, which is relevant and growing, supported by notable KOLs boosting social buzz. However, recent negative momentum and high volatility increase risk, slightly dampening the overall score.</t>
        </is>
      </c>
    </row>
    <row r="34">
      <c r="A34" s="43" t="n">
        <v>33</v>
      </c>
      <c r="B34" s="44" t="inlineStr">
        <is>
          <t>FLY</t>
        </is>
      </c>
      <c r="C34" s="45" t="inlineStr">
        <is>
          <t>Aerospace</t>
        </is>
      </c>
      <c r="D34" s="45" t="inlineStr">
        <is>
          <t>Aerospace</t>
        </is>
      </c>
      <c r="E34" s="53" t="n">
        <v>60</v>
      </c>
      <c r="F34" s="47" t="n">
        <v>75</v>
      </c>
      <c r="G34" s="47" t="n">
        <v>70</v>
      </c>
      <c r="H34" s="48" t="n">
        <v>65</v>
      </c>
      <c r="I34" s="47" t="n">
        <v>70</v>
      </c>
      <c r="J34" s="49" t="n">
        <v>-0.01220538721</v>
      </c>
      <c r="K34" s="50" t="inlineStr">
        <is>
          <t>FLY has strong recent momentum with positive weekly and specific date gains in the Aerospace theme, which remains relevant. Good social media backing supports the social buzz score, though moderate risk is present due to volatility.</t>
        </is>
      </c>
    </row>
    <row r="35">
      <c r="A35" s="43" t="n">
        <v>34</v>
      </c>
      <c r="B35" s="44" t="inlineStr">
        <is>
          <t>SKM</t>
        </is>
      </c>
      <c r="C35" s="45" t="inlineStr">
        <is>
          <t>Anthropic</t>
        </is>
      </c>
      <c r="D35" s="45" t="inlineStr"/>
      <c r="E35" s="53" t="n">
        <v>58</v>
      </c>
      <c r="F35" s="48" t="n">
        <v>45</v>
      </c>
      <c r="G35" s="52" t="n">
        <v>50</v>
      </c>
      <c r="H35" s="48" t="n">
        <v>60</v>
      </c>
      <c r="I35" s="52" t="n">
        <v>65</v>
      </c>
      <c r="J35" s="49" t="n">
        <v>0.3659367397</v>
      </c>
      <c r="K35" s="50" t="inlineStr">
        <is>
          <t>SKM has weak momentum with negative weekly and specific date returns but decent YTD growth. The Anthropic theme is relevant but niche, giving a moderate theme score. Good KOL presence supports social buzz, while risk is elevated due to recent price drops.</t>
        </is>
      </c>
    </row>
    <row r="36">
      <c r="A36" s="43" t="n">
        <v>35</v>
      </c>
      <c r="B36" s="44" t="inlineStr">
        <is>
          <t>Q</t>
        </is>
      </c>
      <c r="C36" s="45" t="inlineStr"/>
      <c r="D36" s="45" t="inlineStr"/>
      <c r="E36" s="53" t="n">
        <v>58</v>
      </c>
      <c r="F36" s="52" t="n">
        <v>50</v>
      </c>
      <c r="G36" s="48" t="n">
        <v>40</v>
      </c>
      <c r="H36" s="48" t="n">
        <v>55</v>
      </c>
      <c r="I36" s="48" t="n">
        <v>40</v>
      </c>
      <c r="J36" s="49" t="n">
        <v>0.283243116</v>
      </c>
      <c r="K36" s="50" t="inlineStr">
        <is>
          <t>Q has weak momentum with negative weekly and specific date returns but moderate YTD gains. No clear thematic play or KOL support lowers theme and social buzz scores. Risk is moderate with balanced volatility.</t>
        </is>
      </c>
    </row>
    <row r="37">
      <c r="A37" s="43" t="n">
        <v>36</v>
      </c>
      <c r="B37" s="44" t="inlineStr">
        <is>
          <t>ATOM</t>
        </is>
      </c>
      <c r="C37" s="45" t="inlineStr"/>
      <c r="D37" s="45" t="inlineStr"/>
      <c r="E37" s="53" t="n">
        <v>55</v>
      </c>
      <c r="F37" s="48" t="n">
        <v>45</v>
      </c>
      <c r="G37" s="51" t="n">
        <v>20</v>
      </c>
      <c r="H37" s="48" t="n">
        <v>65</v>
      </c>
      <c r="I37" s="52" t="n">
        <v>50</v>
      </c>
      <c r="J37" s="49" t="n">
        <v>0.9491525424</v>
      </c>
      <c r="K37" s="50" t="inlineStr">
        <is>
          <t>ATOM has weak recent momentum and no clear thematic relevance. Social buzz is moderate but recent negative performance increases risk.</t>
        </is>
      </c>
    </row>
    <row r="38">
      <c r="A38" s="43" t="n">
        <v>37</v>
      </c>
      <c r="B38" s="44" t="inlineStr">
        <is>
          <t>RIME</t>
        </is>
      </c>
      <c r="C38" s="45" t="inlineStr"/>
      <c r="D38" s="45" t="inlineStr"/>
      <c r="E38" s="53" t="n">
        <v>55</v>
      </c>
      <c r="F38" s="48" t="n">
        <v>40</v>
      </c>
      <c r="G38" s="48" t="n">
        <v>40</v>
      </c>
      <c r="H38" s="51" t="n">
        <v>70</v>
      </c>
      <c r="I38" s="52" t="n">
        <v>50</v>
      </c>
      <c r="J38" s="49" t="n">
        <v>0.5384615385</v>
      </c>
      <c r="K38" s="50" t="inlineStr">
        <is>
          <t>RIME has flat weekly performance and a negative specific date return, indicating weak momentum despite decent YTD gains. The lack of a clear theme lowers thematic appeal. Moderate social buzz from a single KOL and higher volatility increase risk.</t>
        </is>
      </c>
    </row>
    <row r="39">
      <c r="A39" s="43" t="n">
        <v>38</v>
      </c>
      <c r="B39" s="44" t="inlineStr">
        <is>
          <t>PPTA</t>
        </is>
      </c>
      <c r="C39" s="45" t="inlineStr"/>
      <c r="D39" s="45" t="inlineStr"/>
      <c r="E39" s="53" t="n">
        <v>55</v>
      </c>
      <c r="F39" s="52" t="n">
        <v>50</v>
      </c>
      <c r="G39" s="48" t="n">
        <v>30</v>
      </c>
      <c r="H39" s="51" t="n">
        <v>70</v>
      </c>
      <c r="I39" s="52" t="n">
        <v>60</v>
      </c>
      <c r="J39" s="49" t="n">
        <v>0.2127139364</v>
      </c>
      <c r="K39" s="50" t="inlineStr">
        <is>
          <t>PPTA shows moderate YTD performance but recent weekly decline impacts momentum negatively. Thematic relevance is unclear, lowering theme score. Moderate social buzz from known KOLs supports some interest, but volatility increases risk.</t>
        </is>
      </c>
    </row>
    <row r="40">
      <c r="A40" s="43" t="n">
        <v>39</v>
      </c>
      <c r="B40" s="44" t="inlineStr">
        <is>
          <t>CRML</t>
        </is>
      </c>
      <c r="C40" s="45" t="inlineStr">
        <is>
          <t>Greenland</t>
        </is>
      </c>
      <c r="D40" s="45" t="inlineStr">
        <is>
          <t>Defense &amp; Strategic Resources</t>
        </is>
      </c>
      <c r="E40" s="53" t="n">
        <v>55</v>
      </c>
      <c r="F40" s="52" t="n">
        <v>55</v>
      </c>
      <c r="G40" s="52" t="n">
        <v>50</v>
      </c>
      <c r="H40" s="48" t="n">
        <v>50</v>
      </c>
      <c r="I40" s="52" t="n">
        <v>55</v>
      </c>
      <c r="J40" s="49" t="n">
        <v>0.1145320197</v>
      </c>
      <c r="K40" s="50" t="inlineStr">
        <is>
          <t>CRML's defense and Greenland theme is niche but relevant. Modest YTD and weekly performance yield moderate momentum. Social buzz is moderate with KOL backing. Risk is average due to steady performance.</t>
        </is>
      </c>
    </row>
    <row r="41">
      <c r="A41" s="43" t="n">
        <v>40</v>
      </c>
      <c r="B41" s="44" t="inlineStr">
        <is>
          <t>ASTS</t>
        </is>
      </c>
      <c r="C41" s="45" t="inlineStr">
        <is>
          <t>Aerospace</t>
        </is>
      </c>
      <c r="D41" s="45" t="inlineStr">
        <is>
          <t>Aerospace</t>
        </is>
      </c>
      <c r="E41" s="53" t="n">
        <v>55</v>
      </c>
      <c r="F41" s="52" t="n">
        <v>50</v>
      </c>
      <c r="G41" s="47" t="n">
        <v>70</v>
      </c>
      <c r="H41" s="48" t="n">
        <v>55</v>
      </c>
      <c r="I41" s="52" t="n">
        <v>65</v>
      </c>
      <c r="J41" s="49" t="n">
        <v>0.03438361088</v>
      </c>
      <c r="K41" s="50" t="inlineStr">
        <is>
          <t>ASTS has a solid aerospace theme with moderate YTD gains and recent positive daily performance. Good KOL backing enhances social buzz. Moderate risk due to some volatility.</t>
        </is>
      </c>
    </row>
    <row r="42">
      <c r="A42" s="43" t="n">
        <v>41</v>
      </c>
      <c r="B42" s="44" t="inlineStr">
        <is>
          <t>ACMR</t>
        </is>
      </c>
      <c r="C42" s="45" t="inlineStr">
        <is>
          <t>AI Chip</t>
        </is>
      </c>
      <c r="D42" s="45" t="inlineStr"/>
      <c r="E42" s="53" t="n">
        <v>55</v>
      </c>
      <c r="F42" s="48" t="n">
        <v>30</v>
      </c>
      <c r="G42" s="47" t="n">
        <v>80</v>
      </c>
      <c r="H42" s="51" t="n">
        <v>80</v>
      </c>
      <c r="I42" s="47" t="n">
        <v>70</v>
      </c>
      <c r="J42" s="49" t="n">
        <v>0.03342245989</v>
      </c>
      <c r="K42" s="50" t="inlineStr">
        <is>
          <t>ACMR benefits from a strong AI Chip theme and good social buzz but has poor recent momentum and high volatility, reflected in a high risk score. The overall score balances strong thematic appeal with momentum and risk concerns.</t>
        </is>
      </c>
    </row>
    <row r="43">
      <c r="A43" s="43" t="n">
        <v>42</v>
      </c>
      <c r="B43" s="44" t="inlineStr">
        <is>
          <t>OPRA</t>
        </is>
      </c>
      <c r="C43" s="45" t="inlineStr">
        <is>
          <t>AI Distribution</t>
        </is>
      </c>
      <c r="D43" s="45" t="inlineStr"/>
      <c r="E43" s="53" t="n">
        <v>55</v>
      </c>
      <c r="F43" s="48" t="n">
        <v>40</v>
      </c>
      <c r="G43" s="47" t="n">
        <v>70</v>
      </c>
      <c r="H43" s="48" t="n">
        <v>60</v>
      </c>
      <c r="I43" s="52" t="n">
        <v>65</v>
      </c>
      <c r="J43" s="49" t="n">
        <v>0.01686577653</v>
      </c>
      <c r="K43" s="50" t="inlineStr">
        <is>
          <t>OPRA's AI Distribution theme is relevant and supported by active KOLs, contributing to solid social buzz. Momentum is modest with mixed recent performance, and risk is moderate due to some volatility.</t>
        </is>
      </c>
    </row>
    <row r="44">
      <c r="A44" s="43" t="n">
        <v>43</v>
      </c>
      <c r="B44" s="44" t="inlineStr">
        <is>
          <t>TE</t>
        </is>
      </c>
      <c r="C44" s="45" t="inlineStr">
        <is>
          <t>Solar</t>
        </is>
      </c>
      <c r="D44" s="45" t="inlineStr"/>
      <c r="E44" s="53" t="n">
        <v>55</v>
      </c>
      <c r="F44" s="52" t="n">
        <v>65</v>
      </c>
      <c r="G44" s="52" t="n">
        <v>65</v>
      </c>
      <c r="H44" s="48" t="n">
        <v>55</v>
      </c>
      <c r="I44" s="52" t="n">
        <v>65</v>
      </c>
      <c r="J44" s="49" t="n">
        <v>-0.02806122449</v>
      </c>
      <c r="K44" s="50" t="inlineStr">
        <is>
          <t>TE benefits from a strong Solar theme and good momentum on recent dates. Social buzz is solid with notable KOLs, and risk remains moderate due to manageable volatility.</t>
        </is>
      </c>
    </row>
    <row r="45">
      <c r="A45" s="43" t="n">
        <v>44</v>
      </c>
      <c r="B45" s="44" t="inlineStr">
        <is>
          <t>SATS</t>
        </is>
      </c>
      <c r="C45" s="45" t="inlineStr">
        <is>
          <t>Aerospace</t>
        </is>
      </c>
      <c r="D45" s="45" t="inlineStr">
        <is>
          <t>Aerospace</t>
        </is>
      </c>
      <c r="E45" s="53" t="n">
        <v>55</v>
      </c>
      <c r="F45" s="48" t="n">
        <v>40</v>
      </c>
      <c r="G45" s="47" t="n">
        <v>70</v>
      </c>
      <c r="H45" s="48" t="n">
        <v>60</v>
      </c>
      <c r="I45" s="52" t="n">
        <v>65</v>
      </c>
      <c r="J45" s="49" t="n">
        <v>-0.03423070066</v>
      </c>
      <c r="K45" s="50" t="inlineStr">
        <is>
          <t>SATS operates in the aerospace sector which remains relevant but has shown negative momentum YTD and weekly. Moderate risk due to volatility and moderate social buzz from notable KOLs. The aerospace theme is solid but not a top hot theme currently.</t>
        </is>
      </c>
    </row>
    <row r="46">
      <c r="A46" s="43" t="n">
        <v>45</v>
      </c>
      <c r="B46" s="44" t="inlineStr">
        <is>
          <t>GLXY</t>
        </is>
      </c>
      <c r="C46" s="45" t="inlineStr">
        <is>
          <t>AI Hyperscaler</t>
        </is>
      </c>
      <c r="D46" s="45" t="inlineStr">
        <is>
          <t>Fintech &amp; Crypto</t>
        </is>
      </c>
      <c r="E46" s="53" t="n">
        <v>55</v>
      </c>
      <c r="F46" s="52" t="n">
        <v>55</v>
      </c>
      <c r="G46" s="47" t="n">
        <v>70</v>
      </c>
      <c r="H46" s="48" t="n">
        <v>60</v>
      </c>
      <c r="I46" s="52" t="n">
        <v>65</v>
      </c>
      <c r="J46" s="49" t="n">
        <v>-0.09696969697</v>
      </c>
      <c r="K46" s="50" t="inlineStr">
        <is>
          <t>GLXY is an AI hyperscaler in fintech &amp; crypto with decent momentum and strong thematic relevance. Moderate risk and good social buzz from KOLs support a balanced investment profile.</t>
        </is>
      </c>
    </row>
    <row r="47">
      <c r="A47" s="43" t="n">
        <v>46</v>
      </c>
      <c r="B47" s="44" t="inlineStr">
        <is>
          <t>FIGR</t>
        </is>
      </c>
      <c r="C47" s="45" t="inlineStr">
        <is>
          <t>RWA</t>
        </is>
      </c>
      <c r="D47" s="45" t="inlineStr">
        <is>
          <t>Fintech &amp; Crypto</t>
        </is>
      </c>
      <c r="E47" s="53" t="n">
        <v>55</v>
      </c>
      <c r="F47" s="52" t="n">
        <v>65</v>
      </c>
      <c r="G47" s="47" t="n">
        <v>75</v>
      </c>
      <c r="H47" s="48" t="n">
        <v>60</v>
      </c>
      <c r="I47" s="47" t="n">
        <v>75</v>
      </c>
      <c r="J47" s="49" t="n">
        <v>-0.1982167353</v>
      </c>
      <c r="K47" s="50" t="inlineStr">
        <is>
          <t>FIGR shows strong recent momentum despite negative YTD, with a relevant RWA theme in fintech &amp; crypto. High social buzz from multiple KOLs boosts attractiveness. Risk is moderate given volatility.</t>
        </is>
      </c>
    </row>
    <row r="48">
      <c r="A48" s="43" t="n">
        <v>47</v>
      </c>
      <c r="B48" s="44" t="inlineStr">
        <is>
          <t>HIMS</t>
        </is>
      </c>
      <c r="C48" s="45" t="inlineStr"/>
      <c r="D48" s="45" t="inlineStr"/>
      <c r="E48" s="53" t="n">
        <v>55</v>
      </c>
      <c r="F48" s="47" t="n">
        <v>70</v>
      </c>
      <c r="G48" s="52" t="n">
        <v>60</v>
      </c>
      <c r="H48" s="51" t="n">
        <v>70</v>
      </c>
      <c r="I48" s="47" t="n">
        <v>75</v>
      </c>
      <c r="J48" s="49" t="n">
        <v>-0.258605208</v>
      </c>
      <c r="K48" s="50" t="inlineStr">
        <is>
          <t>HIMS shows strong recent momentum despite negative YTD returns. Healthcare theme is stable but less trendy. High social buzz from KOLs supports attractiveness.</t>
        </is>
      </c>
    </row>
    <row r="49">
      <c r="A49" s="43" t="n">
        <v>48</v>
      </c>
      <c r="B49" s="44" t="inlineStr">
        <is>
          <t>AEHR</t>
        </is>
      </c>
      <c r="C49" s="45" t="inlineStr"/>
      <c r="D49" s="45" t="inlineStr"/>
      <c r="E49" s="53" t="n">
        <v>50</v>
      </c>
      <c r="F49" s="48" t="n">
        <v>40</v>
      </c>
      <c r="G49" s="51" t="n">
        <v>20</v>
      </c>
      <c r="H49" s="51" t="n">
        <v>70</v>
      </c>
      <c r="I49" s="48" t="n">
        <v>35</v>
      </c>
      <c r="J49" s="49" t="n">
        <v>0.6096570397</v>
      </c>
      <c r="K49" s="50" t="inlineStr">
        <is>
          <t>AEHR has weak momentum and no clear thematic play. Social buzz is low and volatility is high, resulting in a higher risk profile.</t>
        </is>
      </c>
    </row>
    <row r="50">
      <c r="A50" s="43" t="n">
        <v>49</v>
      </c>
      <c r="B50" s="44" t="inlineStr">
        <is>
          <t>ASTI</t>
        </is>
      </c>
      <c r="C50" s="45" t="inlineStr">
        <is>
          <t>Aerospace</t>
        </is>
      </c>
      <c r="D50" s="45" t="inlineStr"/>
      <c r="E50" s="53" t="n">
        <v>50</v>
      </c>
      <c r="F50" s="48" t="n">
        <v>30</v>
      </c>
      <c r="G50" s="52" t="n">
        <v>65</v>
      </c>
      <c r="H50" s="51" t="n">
        <v>70</v>
      </c>
      <c r="I50" s="52" t="n">
        <v>60</v>
      </c>
      <c r="J50" s="49" t="n">
        <v>0.2192118227</v>
      </c>
      <c r="K50" s="50" t="inlineStr">
        <is>
          <t>ASTI shows weak momentum with significant recent losses despite aerospace theme relevance. The theme is strong but momentum and risk weigh down the score. Moderate social buzz from KOLs is present but insufficient to offset negatives.</t>
        </is>
      </c>
    </row>
    <row r="51">
      <c r="A51" s="43" t="n">
        <v>50</v>
      </c>
      <c r="B51" s="44" t="inlineStr">
        <is>
          <t>VOXR</t>
        </is>
      </c>
      <c r="C51" s="45" t="inlineStr">
        <is>
          <t>Precious Metal</t>
        </is>
      </c>
      <c r="D51" s="45" t="inlineStr"/>
      <c r="E51" s="53" t="n">
        <v>50</v>
      </c>
      <c r="F51" s="48" t="n">
        <v>45</v>
      </c>
      <c r="G51" s="48" t="n">
        <v>40</v>
      </c>
      <c r="H51" s="48" t="n">
        <v>65</v>
      </c>
      <c r="I51" s="48" t="n">
        <v>40</v>
      </c>
      <c r="J51" s="49" t="n">
        <v>0.1923076923</v>
      </c>
      <c r="K51" s="50" t="inlineStr">
        <is>
          <t>VOXR's precious metal theme is less trendy in 2025-2026, limiting theme score. YTD performance is decent but recent weekly losses reduce momentum. Limited social buzz and moderate volatility contribute to risk.</t>
        </is>
      </c>
    </row>
    <row r="52">
      <c r="A52" s="43" t="n">
        <v>51</v>
      </c>
      <c r="B52" s="44" t="inlineStr">
        <is>
          <t>CPSH</t>
        </is>
      </c>
      <c r="C52" s="45" t="inlineStr">
        <is>
          <t>Material</t>
        </is>
      </c>
      <c r="D52" s="45" t="inlineStr"/>
      <c r="E52" s="53" t="n">
        <v>50</v>
      </c>
      <c r="F52" s="48" t="n">
        <v>40</v>
      </c>
      <c r="G52" s="48" t="n">
        <v>40</v>
      </c>
      <c r="H52" s="51" t="n">
        <v>75</v>
      </c>
      <c r="I52" s="52" t="n">
        <v>60</v>
      </c>
      <c r="J52" s="49" t="n">
        <v>0.18125</v>
      </c>
      <c r="K52" s="50" t="inlineStr">
        <is>
          <t>CPSH shows moderate YTD gains but sharp recent daily decline hurts momentum. Material theme is less hot currently. Strong KOL presence boosts social buzz but high volatility raises risk.</t>
        </is>
      </c>
    </row>
    <row r="53">
      <c r="A53" s="43" t="n">
        <v>52</v>
      </c>
      <c r="B53" s="44" t="inlineStr">
        <is>
          <t>KTOS</t>
        </is>
      </c>
      <c r="C53" s="45" t="inlineStr">
        <is>
          <t>Defense</t>
        </is>
      </c>
      <c r="D53" s="45" t="inlineStr">
        <is>
          <t>Defense</t>
        </is>
      </c>
      <c r="E53" s="53" t="n">
        <v>50</v>
      </c>
      <c r="F53" s="48" t="n">
        <v>40</v>
      </c>
      <c r="G53" s="52" t="n">
        <v>60</v>
      </c>
      <c r="H53" s="51" t="n">
        <v>70</v>
      </c>
      <c r="I53" s="52" t="n">
        <v>60</v>
      </c>
      <c r="J53" s="49" t="n">
        <v>0.1039223105</v>
      </c>
      <c r="K53" s="50" t="inlineStr">
        <is>
          <t>KTOS has a relevant defense theme but weak recent and YTD performance lowers momentum. Strong KOL backing supports social buzz. Elevated volatility increases risk.</t>
        </is>
      </c>
    </row>
    <row r="54">
      <c r="A54" s="43" t="n">
        <v>53</v>
      </c>
      <c r="B54" s="44" t="inlineStr">
        <is>
          <t>AIRO</t>
        </is>
      </c>
      <c r="C54" s="45" t="inlineStr">
        <is>
          <t>Drone</t>
        </is>
      </c>
      <c r="D54" s="45" t="inlineStr">
        <is>
          <t>Defense</t>
        </is>
      </c>
      <c r="E54" s="53" t="n">
        <v>50</v>
      </c>
      <c r="F54" s="48" t="n">
        <v>40</v>
      </c>
      <c r="G54" s="52" t="n">
        <v>65</v>
      </c>
      <c r="H54" s="51" t="n">
        <v>75</v>
      </c>
      <c r="I54" s="52" t="n">
        <v>60</v>
      </c>
      <c r="J54" s="49" t="n">
        <v>0.05952380952</v>
      </c>
      <c r="K54" s="50" t="inlineStr">
        <is>
          <t>AIRO's drone defense theme is relevant but weak YTD and recent performance hurt momentum. Strong KOL presence supports social buzz. High volatility increases risk significantly.</t>
        </is>
      </c>
    </row>
    <row r="55">
      <c r="A55" s="43" t="n">
        <v>54</v>
      </c>
      <c r="B55" s="44" t="inlineStr">
        <is>
          <t>MRCY</t>
        </is>
      </c>
      <c r="C55" s="45" t="inlineStr">
        <is>
          <t>Defense</t>
        </is>
      </c>
      <c r="D55" s="45" t="inlineStr">
        <is>
          <t>Defense</t>
        </is>
      </c>
      <c r="E55" s="53" t="n">
        <v>50</v>
      </c>
      <c r="F55" s="51" t="n">
        <v>25</v>
      </c>
      <c r="G55" s="47" t="n">
        <v>70</v>
      </c>
      <c r="H55" s="51" t="n">
        <v>75</v>
      </c>
      <c r="I55" s="52" t="n">
        <v>65</v>
      </c>
      <c r="J55" s="49" t="n">
        <v>0.02801525714</v>
      </c>
      <c r="K55" s="50" t="inlineStr">
        <is>
          <t>MRCY is in the Defense sector, a strong thematic area, with good social media backing. However, it suffers from poor recent momentum and high volatility, leading to a higher risk score and moderate overall attractiveness.</t>
        </is>
      </c>
    </row>
    <row r="56">
      <c r="A56" s="43" t="n">
        <v>55</v>
      </c>
      <c r="B56" s="44" t="inlineStr">
        <is>
          <t>LEXX</t>
        </is>
      </c>
      <c r="C56" s="45" t="inlineStr"/>
      <c r="D56" s="45" t="inlineStr"/>
      <c r="E56" s="53" t="n">
        <v>50</v>
      </c>
      <c r="F56" s="52" t="n">
        <v>50</v>
      </c>
      <c r="G56" s="51" t="n">
        <v>25</v>
      </c>
      <c r="H56" s="48" t="n">
        <v>50</v>
      </c>
      <c r="I56" s="52" t="n">
        <v>60</v>
      </c>
      <c r="J56" s="49" t="n">
        <v>0.07692307692</v>
      </c>
      <c r="K56" s="50" t="inlineStr">
        <is>
          <t>LEXX shows decent momentum with positive YTD and weekly performance and has some social media presence. Lack of a clear theme limits its thematic score, and moderate volatility keeps risk average.</t>
        </is>
      </c>
    </row>
    <row r="57">
      <c r="A57" s="43" t="n">
        <v>56</v>
      </c>
      <c r="B57" s="44" t="inlineStr">
        <is>
          <t>POET</t>
        </is>
      </c>
      <c r="C57" s="45" t="inlineStr">
        <is>
          <t>Photonics</t>
        </is>
      </c>
      <c r="D57" s="45" t="inlineStr"/>
      <c r="E57" s="53" t="n">
        <v>50</v>
      </c>
      <c r="F57" s="52" t="n">
        <v>50</v>
      </c>
      <c r="G57" s="52" t="n">
        <v>60</v>
      </c>
      <c r="H57" s="48" t="n">
        <v>55</v>
      </c>
      <c r="I57" s="52" t="n">
        <v>60</v>
      </c>
      <c r="J57" s="49" t="n">
        <v>-0.04608938547</v>
      </c>
      <c r="K57" s="50" t="inlineStr">
        <is>
          <t>POET's Photonics theme is moderately relevant with decent momentum on specific dates despite negative YTD. Social buzz is supported by KOLs, and risk is moderate due to some volatility.</t>
        </is>
      </c>
    </row>
    <row r="58">
      <c r="A58" s="43" t="n">
        <v>57</v>
      </c>
      <c r="B58" s="44" t="inlineStr">
        <is>
          <t>ZETA</t>
        </is>
      </c>
      <c r="C58" s="45" t="inlineStr">
        <is>
          <t>AI Agent</t>
        </is>
      </c>
      <c r="D58" s="45" t="inlineStr"/>
      <c r="E58" s="53" t="n">
        <v>50</v>
      </c>
      <c r="F58" s="48" t="n">
        <v>40</v>
      </c>
      <c r="G58" s="47" t="n">
        <v>70</v>
      </c>
      <c r="H58" s="48" t="n">
        <v>65</v>
      </c>
      <c r="I58" s="52" t="n">
        <v>65</v>
      </c>
      <c r="J58" s="49" t="n">
        <v>-0.1039678553</v>
      </c>
      <c r="K58" s="50" t="inlineStr">
        <is>
          <t>ZETA is an AI Agent play with a strong thematic score and decent social buzz. Momentum is weak but recent positive specific date performance helps. Risk remains moderate due to volatility.</t>
        </is>
      </c>
    </row>
    <row r="59">
      <c r="A59" s="43" t="n">
        <v>58</v>
      </c>
      <c r="B59" s="44" t="inlineStr">
        <is>
          <t>SDGR</t>
        </is>
      </c>
      <c r="C59" s="45" t="inlineStr">
        <is>
          <t>AI Medicine</t>
        </is>
      </c>
      <c r="D59" s="45" t="inlineStr"/>
      <c r="E59" s="54" t="n">
        <v>48</v>
      </c>
      <c r="F59" s="48" t="n">
        <v>45</v>
      </c>
      <c r="G59" s="47" t="n">
        <v>70</v>
      </c>
      <c r="H59" s="48" t="n">
        <v>65</v>
      </c>
      <c r="I59" s="52" t="n">
        <v>55</v>
      </c>
      <c r="J59" s="49" t="n">
        <v>-0.3042269188</v>
      </c>
      <c r="K59" s="50" t="inlineStr">
        <is>
          <t>SDGR shares the AI Medicine theme with SLP and shows similar momentum characteristics with a positive specific date performance but negative YTD. The theme remains strong, and moderate social buzz from a KOL supports interest. Risk remains elevated due to volatility.</t>
        </is>
      </c>
    </row>
    <row r="60">
      <c r="A60" s="43" t="n">
        <v>59</v>
      </c>
      <c r="B60" s="44" t="inlineStr">
        <is>
          <t>UUUU</t>
        </is>
      </c>
      <c r="C60" s="45" t="inlineStr">
        <is>
          <t>Nuclear</t>
        </is>
      </c>
      <c r="D60" s="45" t="inlineStr"/>
      <c r="E60" s="54" t="n">
        <v>45</v>
      </c>
      <c r="F60" s="48" t="n">
        <v>35</v>
      </c>
      <c r="G60" s="52" t="n">
        <v>60</v>
      </c>
      <c r="H60" s="51" t="n">
        <v>80</v>
      </c>
      <c r="I60" s="52" t="n">
        <v>65</v>
      </c>
      <c r="J60" s="49" t="n">
        <v>0.1193045564</v>
      </c>
      <c r="K60" s="50" t="inlineStr">
        <is>
          <t>UUUU's nuclear theme is relevant but YTD and recent performance are weak, dragging momentum down. High volatility and sharp recent losses increase risk. Strong KOL backing supports social buzz.</t>
        </is>
      </c>
    </row>
    <row r="61">
      <c r="A61" s="43" t="n">
        <v>60</v>
      </c>
      <c r="B61" s="44" t="inlineStr">
        <is>
          <t>COHU</t>
        </is>
      </c>
      <c r="C61" s="45" t="inlineStr"/>
      <c r="D61" s="45" t="inlineStr"/>
      <c r="E61" s="54" t="n">
        <v>45</v>
      </c>
      <c r="F61" s="48" t="n">
        <v>40</v>
      </c>
      <c r="G61" s="48" t="n">
        <v>30</v>
      </c>
      <c r="H61" s="51" t="n">
        <v>70</v>
      </c>
      <c r="I61" s="48" t="n">
        <v>30</v>
      </c>
      <c r="J61" s="49" t="n">
        <v>0.1072734661</v>
      </c>
      <c r="K61" s="50" t="inlineStr">
        <is>
          <t>COHU lacks clear thematic relevance and shows weak recent and YTD performance. Limited social buzz and high volatility contribute to higher risk and lower overall attractiveness.</t>
        </is>
      </c>
    </row>
    <row r="62">
      <c r="A62" s="43" t="n">
        <v>61</v>
      </c>
      <c r="B62" s="44" t="inlineStr">
        <is>
          <t>MP</t>
        </is>
      </c>
      <c r="C62" s="45" t="inlineStr"/>
      <c r="D62" s="45" t="inlineStr"/>
      <c r="E62" s="54" t="n">
        <v>45</v>
      </c>
      <c r="F62" s="48" t="n">
        <v>40</v>
      </c>
      <c r="G62" s="51" t="n">
        <v>20</v>
      </c>
      <c r="H62" s="48" t="n">
        <v>55</v>
      </c>
      <c r="I62" s="51" t="n">
        <v>10</v>
      </c>
      <c r="J62" s="49" t="n">
        <v>0.04074949973</v>
      </c>
      <c r="K62" s="50" t="inlineStr">
        <is>
          <t>MP shows weak recent momentum with a slight positive YTD but negative weekly performance. Lack of a clear theme and no notable social media presence lowers its attractiveness. Moderate risk due to volatility and lack of thematic strength.</t>
        </is>
      </c>
    </row>
    <row r="63">
      <c r="A63" s="43" t="n">
        <v>62</v>
      </c>
      <c r="B63" s="44" t="inlineStr">
        <is>
          <t>VOYG</t>
        </is>
      </c>
      <c r="C63" s="45" t="inlineStr">
        <is>
          <t>Aerospace</t>
        </is>
      </c>
      <c r="D63" s="45" t="inlineStr">
        <is>
          <t>Aerospace</t>
        </is>
      </c>
      <c r="E63" s="54" t="n">
        <v>45</v>
      </c>
      <c r="F63" s="48" t="n">
        <v>40</v>
      </c>
      <c r="G63" s="52" t="n">
        <v>60</v>
      </c>
      <c r="H63" s="48" t="n">
        <v>50</v>
      </c>
      <c r="I63" s="52" t="n">
        <v>60</v>
      </c>
      <c r="J63" s="49" t="n">
        <v>-0.02735781138</v>
      </c>
      <c r="K63" s="50" t="inlineStr">
        <is>
          <t>VOYG operates in Aerospace with moderate thematic relevance and social buzz. Momentum is weak with negative YTD and mixed recent performance, and risk is moderate.</t>
        </is>
      </c>
    </row>
    <row r="64">
      <c r="A64" s="43" t="n">
        <v>63</v>
      </c>
      <c r="B64" s="44" t="inlineStr">
        <is>
          <t>RKLB</t>
        </is>
      </c>
      <c r="C64" s="45" t="inlineStr">
        <is>
          <t>Aerospace</t>
        </is>
      </c>
      <c r="D64" s="45" t="inlineStr">
        <is>
          <t>Aerospace</t>
        </is>
      </c>
      <c r="E64" s="54" t="n">
        <v>45</v>
      </c>
      <c r="F64" s="48" t="n">
        <v>35</v>
      </c>
      <c r="G64" s="52" t="n">
        <v>65</v>
      </c>
      <c r="H64" s="48" t="n">
        <v>65</v>
      </c>
      <c r="I64" s="52" t="n">
        <v>60</v>
      </c>
      <c r="J64" s="49" t="n">
        <v>-0.0997499671</v>
      </c>
      <c r="K64" s="50" t="inlineStr">
        <is>
          <t>RKLB in aerospace has moderate thematic relevance and social buzz but suffers from negative momentum and moderate risk. The sector is stable but not a top performer currently.</t>
        </is>
      </c>
    </row>
    <row r="65">
      <c r="A65" s="43" t="n">
        <v>64</v>
      </c>
      <c r="B65" s="44" t="inlineStr">
        <is>
          <t>ETOR</t>
        </is>
      </c>
      <c r="C65" s="45" t="inlineStr">
        <is>
          <t>Crypto</t>
        </is>
      </c>
      <c r="D65" s="45" t="inlineStr">
        <is>
          <t>Fintech &amp; Crypto</t>
        </is>
      </c>
      <c r="E65" s="54" t="n">
        <v>45</v>
      </c>
      <c r="F65" s="48" t="n">
        <v>30</v>
      </c>
      <c r="G65" s="47" t="n">
        <v>70</v>
      </c>
      <c r="H65" s="48" t="n">
        <v>65</v>
      </c>
      <c r="I65" s="47" t="n">
        <v>70</v>
      </c>
      <c r="J65" s="49" t="n">
        <v>-0.1561098655</v>
      </c>
      <c r="K65" s="50" t="inlineStr">
        <is>
          <t>ETOR has negative momentum but less severe than peers. Crypto remains a strong thematic play in fintech &amp; crypto sectors. Good social buzz from notable KOLs supports interest, though risk remains elevated due to volatility.</t>
        </is>
      </c>
    </row>
    <row r="66">
      <c r="A66" s="43" t="n">
        <v>65</v>
      </c>
      <c r="B66" s="44" t="inlineStr">
        <is>
          <t>GEMI</t>
        </is>
      </c>
      <c r="C66" s="45" t="inlineStr">
        <is>
          <t>Crypto</t>
        </is>
      </c>
      <c r="D66" s="45" t="inlineStr">
        <is>
          <t>Fintech &amp; Crypto</t>
        </is>
      </c>
      <c r="E66" s="54" t="n">
        <v>45</v>
      </c>
      <c r="F66" s="48" t="n">
        <v>30</v>
      </c>
      <c r="G66" s="47" t="n">
        <v>75</v>
      </c>
      <c r="H66" s="51" t="n">
        <v>80</v>
      </c>
      <c r="I66" s="47" t="n">
        <v>70</v>
      </c>
      <c r="J66" s="49" t="n">
        <v>-0.250965251</v>
      </c>
      <c r="K66" s="50" t="inlineStr">
        <is>
          <t>GEMI operates in the crypto theme, which remains relevant but has seen negative momentum YTD and last week. The crypto sector's volatility contributes to a high risk score. The presence of notable KOLs provides decent social buzz.</t>
        </is>
      </c>
    </row>
    <row r="67">
      <c r="A67" s="43" t="n">
        <v>66</v>
      </c>
      <c r="B67" s="44" t="inlineStr">
        <is>
          <t>WRD</t>
        </is>
      </c>
      <c r="C67" s="45" t="inlineStr">
        <is>
          <t>Robotaxi</t>
        </is>
      </c>
      <c r="D67" s="45" t="inlineStr"/>
      <c r="E67" s="54" t="n">
        <v>45</v>
      </c>
      <c r="F67" s="52" t="n">
        <v>55</v>
      </c>
      <c r="G67" s="47" t="n">
        <v>70</v>
      </c>
      <c r="H67" s="51" t="n">
        <v>70</v>
      </c>
      <c r="I67" s="52" t="n">
        <v>60</v>
      </c>
      <c r="J67" s="49" t="n">
        <v>-0.291799787</v>
      </c>
      <c r="K67" s="50" t="inlineStr">
        <is>
          <t>WRD's Robotaxi theme is relevant and recent momentum is positive, though YTD remains negative. Risk is moderate and social buzz is supported by KOLs.</t>
        </is>
      </c>
    </row>
    <row r="68">
      <c r="A68" s="43" t="n">
        <v>67</v>
      </c>
      <c r="B68" s="44" t="inlineStr">
        <is>
          <t>SLP</t>
        </is>
      </c>
      <c r="C68" s="45" t="inlineStr">
        <is>
          <t>AI Medicine</t>
        </is>
      </c>
      <c r="D68" s="45" t="inlineStr"/>
      <c r="E68" s="54" t="n">
        <v>45</v>
      </c>
      <c r="F68" s="52" t="n">
        <v>50</v>
      </c>
      <c r="G68" s="47" t="n">
        <v>70</v>
      </c>
      <c r="H68" s="48" t="n">
        <v>65</v>
      </c>
      <c r="I68" s="52" t="n">
        <v>60</v>
      </c>
      <c r="J68" s="49" t="n">
        <v>-0.3130866924</v>
      </c>
      <c r="K68" s="50" t="inlineStr">
        <is>
          <t>SLP is positioned in AI Medicine, a strong thematic area, with slight positive momentum over the past week and a positive specific date performance. Despite heavy YTD losses, the moderate momentum and thematic relevance support a mid-level score. Social buzz is moderate with known KOL backing.</t>
        </is>
      </c>
    </row>
    <row r="69">
      <c r="A69" s="43" t="n">
        <v>68</v>
      </c>
      <c r="B69" s="44" t="inlineStr">
        <is>
          <t>COUR</t>
        </is>
      </c>
      <c r="C69" s="45" t="inlineStr">
        <is>
          <t>AI Education</t>
        </is>
      </c>
      <c r="D69" s="45" t="inlineStr"/>
      <c r="E69" s="54" t="n">
        <v>42</v>
      </c>
      <c r="F69" s="48" t="n">
        <v>35</v>
      </c>
      <c r="G69" s="52" t="n">
        <v>65</v>
      </c>
      <c r="H69" s="48" t="n">
        <v>60</v>
      </c>
      <c r="I69" s="52" t="n">
        <v>60</v>
      </c>
      <c r="J69" s="49" t="n">
        <v>-0.1468926554</v>
      </c>
      <c r="K69" s="50" t="inlineStr">
        <is>
          <t>COUR's momentum is weak but slightly better than others with AI Education theme gaining traction. Moderate social buzz from a known KOL supports interest. Risk is moderate given volatility and sector uncertainty.</t>
        </is>
      </c>
    </row>
    <row r="70">
      <c r="A70" s="43" t="n">
        <v>69</v>
      </c>
      <c r="B70" s="44" t="inlineStr">
        <is>
          <t>LTRX</t>
        </is>
      </c>
      <c r="C70" s="45" t="inlineStr"/>
      <c r="D70" s="45" t="inlineStr"/>
      <c r="E70" s="54" t="n">
        <v>40</v>
      </c>
      <c r="F70" s="48" t="n">
        <v>45</v>
      </c>
      <c r="G70" s="51" t="n">
        <v>15</v>
      </c>
      <c r="H70" s="47" t="n">
        <v>40</v>
      </c>
      <c r="I70" s="51" t="n">
        <v>10</v>
      </c>
      <c r="J70" s="49" t="n">
        <v>0.02764227642</v>
      </c>
      <c r="K70" s="50" t="inlineStr">
        <is>
          <t>LTRX has mild positive momentum but lacks a clear theme and social media presence, resulting in low thematic and social buzz scores. Lower volatility reduces risk but overall attractiveness remains limited.</t>
        </is>
      </c>
    </row>
    <row r="71">
      <c r="A71" s="43" t="n">
        <v>70</v>
      </c>
      <c r="B71" s="44" t="inlineStr">
        <is>
          <t>JOYY</t>
        </is>
      </c>
      <c r="C71" s="45" t="inlineStr">
        <is>
          <t>AI Distribution</t>
        </is>
      </c>
      <c r="D71" s="45" t="inlineStr"/>
      <c r="E71" s="54" t="n">
        <v>40</v>
      </c>
      <c r="F71" s="48" t="n">
        <v>45</v>
      </c>
      <c r="G71" s="52" t="n">
        <v>60</v>
      </c>
      <c r="H71" s="48" t="n">
        <v>50</v>
      </c>
      <c r="I71" s="52" t="n">
        <v>50</v>
      </c>
      <c r="J71" s="49" t="n">
        <v>-0.04633920297</v>
      </c>
      <c r="K71" s="50" t="inlineStr">
        <is>
          <t>JOYY's AI Distribution theme is relevant but recent momentum is weak with negative YTD. Social buzz is moderate with some KOL presence, and risk is average.</t>
        </is>
      </c>
    </row>
    <row r="72">
      <c r="A72" s="43" t="n">
        <v>71</v>
      </c>
      <c r="B72" s="44" t="inlineStr">
        <is>
          <t>ONDS</t>
        </is>
      </c>
      <c r="C72" s="45" t="inlineStr">
        <is>
          <t>Drone</t>
        </is>
      </c>
      <c r="D72" s="45" t="inlineStr"/>
      <c r="E72" s="54" t="n">
        <v>40</v>
      </c>
      <c r="F72" s="52" t="n">
        <v>50</v>
      </c>
      <c r="G72" s="52" t="n">
        <v>55</v>
      </c>
      <c r="H72" s="48" t="n">
        <v>60</v>
      </c>
      <c r="I72" s="52" t="n">
        <v>50</v>
      </c>
      <c r="J72" s="49" t="n">
        <v>-0.0780399274</v>
      </c>
      <c r="K72" s="50" t="inlineStr">
        <is>
          <t>ONDS operates in the Drone theme with moderate thematic relevance and social buzz. Momentum is mixed with negative YTD but positive recent performance, and risk is moderate due to volatility.</t>
        </is>
      </c>
    </row>
    <row r="73">
      <c r="A73" s="43" t="n">
        <v>72</v>
      </c>
      <c r="B73" s="44" t="inlineStr">
        <is>
          <t>DPRO</t>
        </is>
      </c>
      <c r="C73" s="45" t="inlineStr">
        <is>
          <t>Drone</t>
        </is>
      </c>
      <c r="D73" s="45" t="inlineStr">
        <is>
          <t>Defense</t>
        </is>
      </c>
      <c r="E73" s="54" t="n">
        <v>40</v>
      </c>
      <c r="F73" s="48" t="n">
        <v>35</v>
      </c>
      <c r="G73" s="52" t="n">
        <v>60</v>
      </c>
      <c r="H73" s="51" t="n">
        <v>70</v>
      </c>
      <c r="I73" s="52" t="n">
        <v>55</v>
      </c>
      <c r="J73" s="49" t="n">
        <v>-0.137414966</v>
      </c>
      <c r="K73" s="50" t="inlineStr">
        <is>
          <t>DPRO in defense drone tech has a relevant theme but weak momentum and high risk. Moderate social buzz from a known KOL helps, but overall scores are subdued due to performance.</t>
        </is>
      </c>
    </row>
    <row r="74">
      <c r="A74" s="43" t="n">
        <v>73</v>
      </c>
      <c r="B74" s="44" t="inlineStr">
        <is>
          <t>BKKT</t>
        </is>
      </c>
      <c r="C74" s="45" t="inlineStr">
        <is>
          <t>RWA</t>
        </is>
      </c>
      <c r="D74" s="45" t="inlineStr">
        <is>
          <t>Crypto</t>
        </is>
      </c>
      <c r="E74" s="54" t="n">
        <v>40</v>
      </c>
      <c r="F74" s="48" t="n">
        <v>45</v>
      </c>
      <c r="G74" s="52" t="n">
        <v>60</v>
      </c>
      <c r="H74" s="51" t="n">
        <v>70</v>
      </c>
      <c r="I74" s="52" t="n">
        <v>60</v>
      </c>
      <c r="J74" s="49" t="n">
        <v>-0.16</v>
      </c>
      <c r="K74" s="50" t="inlineStr">
        <is>
          <t>BKKT in crypto RWA theme has moderate momentum and thematic relevance. Risk is elevated due to crypto volatility but social buzz is solid from known contributors.</t>
        </is>
      </c>
    </row>
    <row r="75">
      <c r="A75" s="43" t="n">
        <v>74</v>
      </c>
      <c r="B75" s="44" t="inlineStr">
        <is>
          <t>AVAV</t>
        </is>
      </c>
      <c r="C75" s="45" t="inlineStr">
        <is>
          <t>Drone</t>
        </is>
      </c>
      <c r="D75" s="45" t="inlineStr"/>
      <c r="E75" s="54" t="n">
        <v>40</v>
      </c>
      <c r="F75" s="51" t="n">
        <v>25</v>
      </c>
      <c r="G75" s="52" t="n">
        <v>60</v>
      </c>
      <c r="H75" s="51" t="n">
        <v>70</v>
      </c>
      <c r="I75" s="52" t="n">
        <v>55</v>
      </c>
      <c r="J75" s="49" t="n">
        <v>-0.1917326984</v>
      </c>
      <c r="K75" s="50" t="inlineStr">
        <is>
          <t>AVAV shows weak momentum with negative YTD and weekly performance. The drone theme is moderately relevant but not a top hot theme in 2025-2026. Moderate social buzz due to KOL presence but high volatility increases risk.</t>
        </is>
      </c>
    </row>
    <row r="76">
      <c r="A76" s="43" t="n">
        <v>75</v>
      </c>
      <c r="B76" s="44" t="inlineStr">
        <is>
          <t>RXRX</t>
        </is>
      </c>
      <c r="C76" s="45" t="inlineStr">
        <is>
          <t>AI Medicine</t>
        </is>
      </c>
      <c r="D76" s="45" t="inlineStr">
        <is>
          <t>Biotech &amp; Pharma</t>
        </is>
      </c>
      <c r="E76" s="54" t="n">
        <v>40</v>
      </c>
      <c r="F76" s="48" t="n">
        <v>33</v>
      </c>
      <c r="G76" s="47" t="n">
        <v>70</v>
      </c>
      <c r="H76" s="48" t="n">
        <v>65</v>
      </c>
      <c r="I76" s="52" t="n">
        <v>50</v>
      </c>
      <c r="J76" s="49" t="n">
        <v>-0.1857142857</v>
      </c>
      <c r="K76" s="50" t="inlineStr">
        <is>
          <t>RXRX benefits from the AI Medicine theme, which is strong and relevant. Momentum is weak but steady. Moderate social buzz and risk due to biotech volatility.</t>
        </is>
      </c>
    </row>
    <row r="77">
      <c r="A77" s="43" t="n">
        <v>76</v>
      </c>
      <c r="B77" s="44" t="inlineStr">
        <is>
          <t>CERT</t>
        </is>
      </c>
      <c r="C77" s="45" t="inlineStr">
        <is>
          <t>AI Medicine</t>
        </is>
      </c>
      <c r="D77" s="45" t="inlineStr">
        <is>
          <t>Biotech &amp; Pharma</t>
        </is>
      </c>
      <c r="E77" s="54" t="n">
        <v>40</v>
      </c>
      <c r="F77" s="48" t="n">
        <v>35</v>
      </c>
      <c r="G77" s="47" t="n">
        <v>70</v>
      </c>
      <c r="H77" s="51" t="n">
        <v>75</v>
      </c>
      <c r="I77" s="52" t="n">
        <v>50</v>
      </c>
      <c r="J77" s="49" t="n">
        <v>-0.2391304348</v>
      </c>
      <c r="K77" s="50" t="inlineStr">
        <is>
          <t>CERT's AI Medicine theme is strong and relevant, but recent and YTD momentum is negative. Risk remains elevated due to biotech volatility. Social buzz is moderate with some KOL presence.</t>
        </is>
      </c>
    </row>
    <row r="78">
      <c r="A78" s="43" t="n">
        <v>77</v>
      </c>
      <c r="B78" s="44" t="inlineStr">
        <is>
          <t>QUBT</t>
        </is>
      </c>
      <c r="C78" s="45" t="inlineStr">
        <is>
          <t>Quantum Computing</t>
        </is>
      </c>
      <c r="D78" s="45" t="inlineStr"/>
      <c r="E78" s="54" t="n">
        <v>40</v>
      </c>
      <c r="F78" s="48" t="n">
        <v>30</v>
      </c>
      <c r="G78" s="47" t="n">
        <v>75</v>
      </c>
      <c r="H78" s="51" t="n">
        <v>70</v>
      </c>
      <c r="I78" s="52" t="n">
        <v>60</v>
      </c>
      <c r="J78" s="49" t="n">
        <v>-0.3369663942</v>
      </c>
      <c r="K78" s="50" t="inlineStr">
        <is>
          <t>QUBT operates in the high-interest Quantum Computing theme, earning a strong theme score. However, its significant YTD decline and recent negative momentum reduce its momentum and overall attractiveness. Moderate social buzz from a known KOL supports some investor interest, but volatility contributes to a high risk score.</t>
        </is>
      </c>
    </row>
    <row r="79">
      <c r="A79" s="43" t="n">
        <v>78</v>
      </c>
      <c r="B79" s="44" t="inlineStr">
        <is>
          <t>CAI</t>
        </is>
      </c>
      <c r="C79" s="45" t="inlineStr">
        <is>
          <t>AI Medicine</t>
        </is>
      </c>
      <c r="D79" s="45" t="inlineStr"/>
      <c r="E79" s="54" t="n">
        <v>40</v>
      </c>
      <c r="F79" s="48" t="n">
        <v>30</v>
      </c>
      <c r="G79" s="47" t="n">
        <v>70</v>
      </c>
      <c r="H79" s="51" t="n">
        <v>70</v>
      </c>
      <c r="I79" s="52" t="n">
        <v>65</v>
      </c>
      <c r="J79" s="49" t="n">
        <v>-0.3272794663</v>
      </c>
      <c r="K79" s="50" t="inlineStr">
        <is>
          <t>CAI operates in AI Medicine with a strong thematic relevance but poor momentum and negative YTD performance. The presence of both KOL and top contributor social buzz supports investor interest, though high volatility increases risk.</t>
        </is>
      </c>
    </row>
    <row r="80">
      <c r="A80" s="43" t="n">
        <v>79</v>
      </c>
      <c r="B80" s="44" t="inlineStr">
        <is>
          <t>TMC</t>
        </is>
      </c>
      <c r="C80" s="45" t="inlineStr">
        <is>
          <t>Rare Earth</t>
        </is>
      </c>
      <c r="D80" s="45" t="inlineStr"/>
      <c r="E80" s="54" t="n">
        <v>38</v>
      </c>
      <c r="F80" s="48" t="n">
        <v>30</v>
      </c>
      <c r="G80" s="52" t="n">
        <v>55</v>
      </c>
      <c r="H80" s="51" t="n">
        <v>70</v>
      </c>
      <c r="I80" s="52" t="n">
        <v>50</v>
      </c>
      <c r="J80" s="49" t="n">
        <v>-0.1194690265</v>
      </c>
      <c r="K80" s="50" t="inlineStr">
        <is>
          <t>TMC focuses on rare earths, a critical theme for tech and defense but currently underperforming with negative momentum and high risk. Social buzz is modest, limiting overall attractiveness.</t>
        </is>
      </c>
    </row>
    <row r="81">
      <c r="A81" s="43" t="n">
        <v>80</v>
      </c>
      <c r="B81" s="44" t="inlineStr">
        <is>
          <t>INOD</t>
        </is>
      </c>
      <c r="C81" s="45" t="inlineStr">
        <is>
          <t>AI Data</t>
        </is>
      </c>
      <c r="D81" s="45" t="inlineStr"/>
      <c r="E81" s="54" t="n">
        <v>38</v>
      </c>
      <c r="F81" s="51" t="n">
        <v>27</v>
      </c>
      <c r="G81" s="47" t="n">
        <v>70</v>
      </c>
      <c r="H81" s="51" t="n">
        <v>70</v>
      </c>
      <c r="I81" s="52" t="n">
        <v>50</v>
      </c>
      <c r="J81" s="49" t="n">
        <v>-0.1979618796</v>
      </c>
      <c r="K81" s="50" t="inlineStr">
        <is>
          <t>INOD is tied to AI Data, a strong theme, but suffers from poor momentum and high volatility. Moderate social buzz from a KOL helps but risk remains high.</t>
        </is>
      </c>
    </row>
    <row r="82">
      <c r="A82" s="43" t="n">
        <v>81</v>
      </c>
      <c r="B82" s="44" t="inlineStr">
        <is>
          <t>IONQ</t>
        </is>
      </c>
      <c r="C82" s="45" t="inlineStr">
        <is>
          <t>Quantum Computing</t>
        </is>
      </c>
      <c r="D82" s="45" t="inlineStr"/>
      <c r="E82" s="54" t="n">
        <v>38</v>
      </c>
      <c r="F82" s="51" t="n">
        <v>28</v>
      </c>
      <c r="G82" s="47" t="n">
        <v>80</v>
      </c>
      <c r="H82" s="51" t="n">
        <v>85</v>
      </c>
      <c r="I82" s="52" t="n">
        <v>65</v>
      </c>
      <c r="J82" s="49" t="n">
        <v>-0.2948471242</v>
      </c>
      <c r="K82" s="50" t="inlineStr">
        <is>
          <t>IONQ is in the hot Quantum Computing theme but suffers from weak momentum and high volatility. Social buzz is good with notable KOLs.</t>
        </is>
      </c>
    </row>
    <row r="83">
      <c r="A83" s="43" t="n">
        <v>82</v>
      </c>
      <c r="B83" s="44" t="inlineStr">
        <is>
          <t>LMND</t>
        </is>
      </c>
      <c r="C83" s="45" t="inlineStr">
        <is>
          <t>AI Insurance</t>
        </is>
      </c>
      <c r="D83" s="45" t="inlineStr"/>
      <c r="E83" s="54" t="n">
        <v>38</v>
      </c>
      <c r="F83" s="48" t="n">
        <v>40</v>
      </c>
      <c r="G83" s="47" t="n">
        <v>70</v>
      </c>
      <c r="H83" s="51" t="n">
        <v>70</v>
      </c>
      <c r="I83" s="52" t="n">
        <v>60</v>
      </c>
      <c r="J83" s="49" t="n">
        <v>-0.2739599789</v>
      </c>
      <c r="K83" s="50" t="inlineStr">
        <is>
          <t>LMND's AI Insurance theme is relevant with flat recent momentum and negative YTD. Risk is moderate and social buzz is decent due to KOLs.</t>
        </is>
      </c>
    </row>
    <row r="84">
      <c r="A84" s="43" t="n">
        <v>83</v>
      </c>
      <c r="B84" s="44" t="inlineStr">
        <is>
          <t>KLAR</t>
        </is>
      </c>
      <c r="C84" s="45" t="inlineStr">
        <is>
          <t xml:space="preserve">BNPL </t>
        </is>
      </c>
      <c r="D84" s="45" t="inlineStr"/>
      <c r="E84" s="54" t="n">
        <v>38</v>
      </c>
      <c r="F84" s="52" t="n">
        <v>65</v>
      </c>
      <c r="G84" s="52" t="n">
        <v>50</v>
      </c>
      <c r="H84" s="48" t="n">
        <v>65</v>
      </c>
      <c r="I84" s="47" t="n">
        <v>70</v>
      </c>
      <c r="J84" s="49" t="n">
        <v>-0.4431221561</v>
      </c>
      <c r="K84" s="50" t="inlineStr">
        <is>
          <t>KLAR is in BNPL, a less trendy theme but shows strong recent momentum and social buzz from notable contributors. Despite poor YTD performance, the positive momentum and social backing improve its overall score with moderate risk.</t>
        </is>
      </c>
    </row>
    <row r="85">
      <c r="A85" s="43" t="n">
        <v>84</v>
      </c>
      <c r="B85" s="44" t="inlineStr">
        <is>
          <t>RBRK</t>
        </is>
      </c>
      <c r="C85" s="45" t="inlineStr">
        <is>
          <t xml:space="preserve">Cybersecurity </t>
        </is>
      </c>
      <c r="D85" s="45" t="inlineStr"/>
      <c r="E85" s="54" t="n">
        <v>37</v>
      </c>
      <c r="F85" s="48" t="n">
        <v>32</v>
      </c>
      <c r="G85" s="52" t="n">
        <v>65</v>
      </c>
      <c r="H85" s="51" t="n">
        <v>75</v>
      </c>
      <c r="I85" s="52" t="n">
        <v>50</v>
      </c>
      <c r="J85" s="49" t="n">
        <v>-0.2920365708</v>
      </c>
      <c r="K85" s="50" t="inlineStr">
        <is>
          <t>RBRK in Cybersecurity has moderate thematic relevance but weak momentum and high risk. Social buzz is moderate with some KOL presence.</t>
        </is>
      </c>
    </row>
    <row r="86">
      <c r="A86" s="43" t="n">
        <v>85</v>
      </c>
      <c r="B86" s="44" t="inlineStr">
        <is>
          <t>SYNA</t>
        </is>
      </c>
      <c r="C86" s="45" t="inlineStr">
        <is>
          <t>AI IoT</t>
        </is>
      </c>
      <c r="D86" s="45" t="inlineStr"/>
      <c r="E86" s="54" t="n">
        <v>35</v>
      </c>
      <c r="F86" s="48" t="n">
        <v>30</v>
      </c>
      <c r="G86" s="52" t="n">
        <v>65</v>
      </c>
      <c r="H86" s="48" t="n">
        <v>60</v>
      </c>
      <c r="I86" s="48" t="n">
        <v>40</v>
      </c>
      <c r="J86" s="49" t="n">
        <v>-0.02468972802</v>
      </c>
      <c r="K86" s="50" t="inlineStr">
        <is>
          <t>SYNA has a relevant AI IoT theme but suffers from negative momentum and moderate volatility. Social buzz is limited, which combined with risk factors lowers overall attractiveness.</t>
        </is>
      </c>
    </row>
    <row r="87">
      <c r="A87" s="43" t="n">
        <v>86</v>
      </c>
      <c r="B87" s="44" t="inlineStr">
        <is>
          <t>CEPT</t>
        </is>
      </c>
      <c r="C87" s="45" t="inlineStr">
        <is>
          <t>RWA</t>
        </is>
      </c>
      <c r="D87" s="45" t="inlineStr">
        <is>
          <t>Fintech &amp; Crypto</t>
        </is>
      </c>
      <c r="E87" s="54" t="n">
        <v>35</v>
      </c>
      <c r="F87" s="48" t="n">
        <v>35</v>
      </c>
      <c r="G87" s="47" t="n">
        <v>70</v>
      </c>
      <c r="H87" s="48" t="n">
        <v>65</v>
      </c>
      <c r="I87" s="52" t="n">
        <v>55</v>
      </c>
      <c r="J87" s="49" t="n">
        <v>-0.02044444444</v>
      </c>
      <c r="K87" s="50" t="inlineStr">
        <is>
          <t>CEPT's Fintech &amp; Crypto theme with RWA focus is relevant but recent momentum is weak. Social buzz is decent, but higher volatility increases risk and lowers the overall score.</t>
        </is>
      </c>
    </row>
    <row r="88">
      <c r="A88" s="43" t="n">
        <v>87</v>
      </c>
      <c r="B88" s="44" t="inlineStr">
        <is>
          <t>LPTH</t>
        </is>
      </c>
      <c r="C88" s="45" t="inlineStr">
        <is>
          <t>Photonics</t>
        </is>
      </c>
      <c r="D88" s="45" t="inlineStr"/>
      <c r="E88" s="54" t="n">
        <v>35</v>
      </c>
      <c r="F88" s="51" t="n">
        <v>25</v>
      </c>
      <c r="G88" s="52" t="n">
        <v>50</v>
      </c>
      <c r="H88" s="51" t="n">
        <v>75</v>
      </c>
      <c r="I88" s="52" t="n">
        <v>55</v>
      </c>
      <c r="J88" s="49" t="n">
        <v>-0.1032423208</v>
      </c>
      <c r="K88" s="50" t="inlineStr">
        <is>
          <t>LPTH is in photonics, a niche but important tech theme. However, it has weak momentum with significant negative returns and high volatility, increasing risk. Social buzz is moderate but limited to one KOL.</t>
        </is>
      </c>
    </row>
    <row r="89">
      <c r="A89" s="43" t="n">
        <v>88</v>
      </c>
      <c r="B89" s="44" t="inlineStr">
        <is>
          <t>OSCR</t>
        </is>
      </c>
      <c r="C89" s="45" t="inlineStr">
        <is>
          <t>Healthcare</t>
        </is>
      </c>
      <c r="D89" s="45" t="inlineStr"/>
      <c r="E89" s="54" t="n">
        <v>35</v>
      </c>
      <c r="F89" s="48" t="n">
        <v>30</v>
      </c>
      <c r="G89" s="48" t="n">
        <v>45</v>
      </c>
      <c r="H89" s="51" t="n">
        <v>70</v>
      </c>
      <c r="I89" s="52" t="n">
        <v>50</v>
      </c>
      <c r="J89" s="49" t="n">
        <v>-0.1162324649</v>
      </c>
      <c r="K89" s="50" t="inlineStr">
        <is>
          <t>OSCR in healthcare has a moderate theme score but poor momentum and high risk. Social buzz is moderate due to some KOL presence.</t>
        </is>
      </c>
    </row>
    <row r="90">
      <c r="A90" s="43" t="n">
        <v>89</v>
      </c>
      <c r="B90" s="44" t="inlineStr">
        <is>
          <t>CHYM</t>
        </is>
      </c>
      <c r="C90" s="45" t="inlineStr">
        <is>
          <t>Neobanking</t>
        </is>
      </c>
      <c r="D90" s="45" t="inlineStr"/>
      <c r="E90" s="54" t="n">
        <v>35</v>
      </c>
      <c r="F90" s="51" t="n">
        <v>22</v>
      </c>
      <c r="G90" s="52" t="n">
        <v>50</v>
      </c>
      <c r="H90" s="51" t="n">
        <v>70</v>
      </c>
      <c r="I90" s="52" t="n">
        <v>60</v>
      </c>
      <c r="J90" s="49" t="n">
        <v>-0.2193181818</v>
      </c>
      <c r="K90" s="50" t="inlineStr">
        <is>
          <t>CHYM's neobanking theme has moderate relevance but momentum is weak and risk is high due to volatility. Social buzz is decent from KOLs but overall score is low.</t>
        </is>
      </c>
    </row>
    <row r="91">
      <c r="A91" s="43" t="n">
        <v>90</v>
      </c>
      <c r="B91" s="44" t="inlineStr">
        <is>
          <t>SMR</t>
        </is>
      </c>
      <c r="C91" s="45" t="inlineStr">
        <is>
          <t>SMR Nuclear</t>
        </is>
      </c>
      <c r="D91" s="45" t="inlineStr"/>
      <c r="E91" s="54" t="n">
        <v>35</v>
      </c>
      <c r="F91" s="48" t="n">
        <v>40</v>
      </c>
      <c r="G91" s="52" t="n">
        <v>65</v>
      </c>
      <c r="H91" s="51" t="n">
        <v>70</v>
      </c>
      <c r="I91" s="52" t="n">
        <v>60</v>
      </c>
      <c r="J91" s="49" t="n">
        <v>-0.2765174739</v>
      </c>
      <c r="K91" s="50" t="inlineStr">
        <is>
          <t>SMR Nuclear is a niche theme with moderate relevance but weak recent momentum and negative YTD performance. Moderate risk due to volatility and moderate social buzz from KOLs.</t>
        </is>
      </c>
    </row>
    <row r="92">
      <c r="A92" s="43" t="n">
        <v>91</v>
      </c>
      <c r="B92" s="44" t="inlineStr">
        <is>
          <t>RGTI</t>
        </is>
      </c>
      <c r="C92" s="45" t="inlineStr">
        <is>
          <t>Quantum Computing</t>
        </is>
      </c>
      <c r="D92" s="45" t="inlineStr"/>
      <c r="E92" s="54" t="n">
        <v>35</v>
      </c>
      <c r="F92" s="51" t="n">
        <v>27</v>
      </c>
      <c r="G92" s="47" t="n">
        <v>80</v>
      </c>
      <c r="H92" s="51" t="n">
        <v>85</v>
      </c>
      <c r="I92" s="52" t="n">
        <v>65</v>
      </c>
      <c r="J92" s="49" t="n">
        <v>-0.3148305085</v>
      </c>
      <c r="K92" s="50" t="inlineStr">
        <is>
          <t>RGTI is another Quantum Computing player with poor momentum and high risk. Social buzz is decent due to KOLs, but negative performance weighs on score.</t>
        </is>
      </c>
    </row>
    <row r="93">
      <c r="A93" s="43" t="n">
        <v>92</v>
      </c>
      <c r="B93" s="44" t="inlineStr">
        <is>
          <t>MBLY</t>
        </is>
      </c>
      <c r="C93" s="45" t="inlineStr">
        <is>
          <t>Robotics</t>
        </is>
      </c>
      <c r="D93" s="45" t="inlineStr"/>
      <c r="E93" s="54" t="n">
        <v>35</v>
      </c>
      <c r="F93" s="51" t="n">
        <v>25</v>
      </c>
      <c r="G93" s="52" t="n">
        <v>60</v>
      </c>
      <c r="H93" s="51" t="n">
        <v>75</v>
      </c>
      <c r="I93" s="47" t="n">
        <v>70</v>
      </c>
      <c r="J93" s="49" t="n">
        <v>-0.3259127337</v>
      </c>
      <c r="K93" s="50" t="inlineStr">
        <is>
          <t>MBLY is in the Robotics theme, which is relevant but less hot than AI or Quantum Computing. The stock shows weak momentum with steep YTD losses and recent negative performance. Strong social buzz from multiple contributors is a positive, but high volatility and risk weigh down the overall score.</t>
        </is>
      </c>
    </row>
    <row r="94">
      <c r="A94" s="43" t="n">
        <v>93</v>
      </c>
      <c r="B94" s="44" t="inlineStr">
        <is>
          <t>PGNY</t>
        </is>
      </c>
      <c r="C94" s="45" t="inlineStr">
        <is>
          <t>Healthcare</t>
        </is>
      </c>
      <c r="D94" s="45" t="inlineStr"/>
      <c r="E94" s="54" t="n">
        <v>35</v>
      </c>
      <c r="F94" s="48" t="n">
        <v>30</v>
      </c>
      <c r="G94" s="52" t="n">
        <v>50</v>
      </c>
      <c r="H94" s="51" t="n">
        <v>70</v>
      </c>
      <c r="I94" s="52" t="n">
        <v>55</v>
      </c>
      <c r="J94" s="49" t="n">
        <v>-0.3201243201</v>
      </c>
      <c r="K94" s="50" t="inlineStr">
        <is>
          <t>PGNY is in the broader Healthcare theme, which is less trendy compared to AI or Quantum Computing. It has weak momentum with negative YTD and recent performance. Social buzz is moderate but not strong enough to offset the risk and poor momentum.</t>
        </is>
      </c>
    </row>
    <row r="95">
      <c r="A95" s="43" t="n">
        <v>94</v>
      </c>
      <c r="B95" s="44" t="inlineStr">
        <is>
          <t>QBTS</t>
        </is>
      </c>
      <c r="C95" s="45" t="inlineStr">
        <is>
          <t>Quantum Computing</t>
        </is>
      </c>
      <c r="D95" s="45" t="inlineStr"/>
      <c r="E95" s="54" t="n">
        <v>35</v>
      </c>
      <c r="F95" s="51" t="n">
        <v>20</v>
      </c>
      <c r="G95" s="47" t="n">
        <v>75</v>
      </c>
      <c r="H95" s="51" t="n">
        <v>75</v>
      </c>
      <c r="I95" s="48" t="n">
        <v>30</v>
      </c>
      <c r="J95" s="49" t="n">
        <v>-0.3761109136</v>
      </c>
      <c r="K95" s="50" t="inlineStr">
        <is>
          <t>QBTS is a Quantum Computing stock with strong thematic relevance but suffers from very poor momentum and the worst YTD performance among peers. Lack of KOL or contributor social buzz lowers social score. High volatility and risk further reduce investment attractiveness.</t>
        </is>
      </c>
    </row>
    <row r="96">
      <c r="A96" s="43" t="n">
        <v>95</v>
      </c>
      <c r="B96" s="44" t="inlineStr">
        <is>
          <t>PPSI</t>
        </is>
      </c>
      <c r="C96" s="45" t="inlineStr">
        <is>
          <t>AI Energy</t>
        </is>
      </c>
      <c r="D96" s="45" t="inlineStr"/>
      <c r="E96" s="54" t="n">
        <v>33</v>
      </c>
      <c r="F96" s="48" t="n">
        <v>35</v>
      </c>
      <c r="G96" s="47" t="n">
        <v>70</v>
      </c>
      <c r="H96" s="51" t="n">
        <v>75</v>
      </c>
      <c r="I96" s="48" t="n">
        <v>40</v>
      </c>
      <c r="J96" s="49" t="n">
        <v>-0.2985074627</v>
      </c>
      <c r="K96" s="50" t="inlineStr">
        <is>
          <t>PPSI's AI Energy theme is relevant but momentum and YTD performance are weak. Risk is elevated and social buzz is low due to limited KOL presence.</t>
        </is>
      </c>
    </row>
    <row r="97">
      <c r="A97" s="43" t="n">
        <v>96</v>
      </c>
      <c r="B97" s="44" t="inlineStr">
        <is>
          <t>NB</t>
        </is>
      </c>
      <c r="C97" s="45" t="inlineStr">
        <is>
          <t>Rare Earth</t>
        </is>
      </c>
      <c r="D97" s="45" t="inlineStr"/>
      <c r="E97" s="54" t="n">
        <v>32</v>
      </c>
      <c r="F97" s="48" t="n">
        <v>40</v>
      </c>
      <c r="G97" s="52" t="n">
        <v>55</v>
      </c>
      <c r="H97" s="48" t="n">
        <v>65</v>
      </c>
      <c r="I97" s="52" t="n">
        <v>55</v>
      </c>
      <c r="J97" s="49" t="n">
        <v>-0.2050420168</v>
      </c>
      <c r="K97" s="50" t="inlineStr">
        <is>
          <t>NB's rare earth theme is niche but important. Momentum is weak and risk moderate. Social buzz is moderate due to KOL presence.</t>
        </is>
      </c>
    </row>
    <row r="98">
      <c r="A98" s="43" t="n">
        <v>97</v>
      </c>
      <c r="B98" s="44" t="inlineStr">
        <is>
          <t>SHMD</t>
        </is>
      </c>
      <c r="C98" s="45" t="inlineStr">
        <is>
          <t>AI PCB</t>
        </is>
      </c>
      <c r="D98" s="45" t="inlineStr">
        <is>
          <t>Semis, Optics &amp; Edge AI</t>
        </is>
      </c>
      <c r="E98" s="54" t="n">
        <v>30</v>
      </c>
      <c r="F98" s="51" t="n">
        <v>20</v>
      </c>
      <c r="G98" s="52" t="n">
        <v>60</v>
      </c>
      <c r="H98" s="51" t="n">
        <v>80</v>
      </c>
      <c r="I98" s="52" t="n">
        <v>50</v>
      </c>
      <c r="J98" s="49" t="n">
        <v>-0.1586666667</v>
      </c>
      <c r="K98" s="50" t="inlineStr">
        <is>
          <t>SHMD is in AI PCB, a relevant AI theme, but has poor momentum and very high risk due to volatility and steep losses. Social buzz is average but insufficient to offset risk.</t>
        </is>
      </c>
    </row>
    <row r="99">
      <c r="A99" s="43" t="n">
        <v>98</v>
      </c>
      <c r="B99" s="44" t="inlineStr">
        <is>
          <t>ALMU</t>
        </is>
      </c>
      <c r="C99" s="45" t="inlineStr">
        <is>
          <t>Photonics</t>
        </is>
      </c>
      <c r="D99" s="45" t="inlineStr">
        <is>
          <t>Semis, Optics &amp; Edge AI</t>
        </is>
      </c>
      <c r="E99" s="54" t="n">
        <v>30</v>
      </c>
      <c r="F99" s="51" t="n">
        <v>25</v>
      </c>
      <c r="G99" s="52" t="n">
        <v>55</v>
      </c>
      <c r="H99" s="51" t="n">
        <v>75</v>
      </c>
      <c r="I99" s="52" t="n">
        <v>55</v>
      </c>
      <c r="J99" s="49" t="n">
        <v>-0.1679775281</v>
      </c>
      <c r="K99" s="50" t="inlineStr">
        <is>
          <t>ALMU in photonics has a relevant theme but weak momentum and high risk. Social buzz is moderate but insufficient to improve overall score significantly.</t>
        </is>
      </c>
    </row>
    <row r="100">
      <c r="A100" s="43" t="n">
        <v>99</v>
      </c>
      <c r="B100" s="44" t="inlineStr">
        <is>
          <t>G</t>
        </is>
      </c>
      <c r="C100" s="45" t="inlineStr"/>
      <c r="D100" s="45" t="inlineStr"/>
      <c r="E100" s="54" t="n">
        <v>30</v>
      </c>
      <c r="F100" s="51" t="n">
        <v>28</v>
      </c>
      <c r="G100" s="51" t="n">
        <v>20</v>
      </c>
      <c r="H100" s="48" t="n">
        <v>60</v>
      </c>
      <c r="I100" s="51" t="n">
        <v>20</v>
      </c>
      <c r="J100" s="49" t="n">
        <v>-0.1657590939</v>
      </c>
      <c r="K100" s="50" t="inlineStr">
        <is>
          <t>G lacks a clear thematic play and shows weak momentum. No KOL backing results in low social buzz. Risk is moderate due to volatility but overall attractiveness is low.</t>
        </is>
      </c>
    </row>
    <row r="101">
      <c r="A101" s="43" t="n">
        <v>100</v>
      </c>
      <c r="B101" s="44" t="inlineStr">
        <is>
          <t>OKLO</t>
        </is>
      </c>
      <c r="C101" s="45" t="inlineStr">
        <is>
          <t>SMR Nuclear</t>
        </is>
      </c>
      <c r="D101" s="45" t="inlineStr"/>
      <c r="E101" s="54" t="n">
        <v>30</v>
      </c>
      <c r="F101" s="51" t="n">
        <v>25</v>
      </c>
      <c r="G101" s="52" t="n">
        <v>60</v>
      </c>
      <c r="H101" s="51" t="n">
        <v>70</v>
      </c>
      <c r="I101" s="52" t="n">
        <v>50</v>
      </c>
      <c r="J101" s="49" t="n">
        <v>-0.2497429306</v>
      </c>
      <c r="K101" s="50" t="inlineStr">
        <is>
          <t>OKLO's SMR Nuclear theme is relevant but niche. Momentum is weak with high risk. Moderate social buzz from KOLs provides some support.</t>
        </is>
      </c>
    </row>
    <row r="102">
      <c r="A102" s="43" t="n">
        <v>101</v>
      </c>
      <c r="B102" s="44" t="inlineStr">
        <is>
          <t>SYM</t>
        </is>
      </c>
      <c r="C102" s="45" t="inlineStr">
        <is>
          <t>Robotics</t>
        </is>
      </c>
      <c r="D102" s="45" t="inlineStr"/>
      <c r="E102" s="54" t="n">
        <v>30</v>
      </c>
      <c r="F102" s="48" t="n">
        <v>35</v>
      </c>
      <c r="G102" s="52" t="n">
        <v>65</v>
      </c>
      <c r="H102" s="51" t="n">
        <v>70</v>
      </c>
      <c r="I102" s="52" t="n">
        <v>55</v>
      </c>
      <c r="J102" s="49" t="n">
        <v>-0.2380144905</v>
      </c>
      <c r="K102" s="50" t="inlineStr">
        <is>
          <t>SYM's robotics theme is relevant but momentum is weak and risk high. Social buzz is moderate due to KOL presence.</t>
        </is>
      </c>
    </row>
    <row r="103">
      <c r="A103" s="43" t="n">
        <v>102</v>
      </c>
      <c r="B103" s="44" t="inlineStr">
        <is>
          <t>NVO</t>
        </is>
      </c>
      <c r="C103" s="45" t="inlineStr">
        <is>
          <t>GLP-1</t>
        </is>
      </c>
      <c r="D103" s="45" t="inlineStr">
        <is>
          <t>Biotech &amp; Pharma</t>
        </is>
      </c>
      <c r="E103" s="54" t="n">
        <v>30</v>
      </c>
      <c r="F103" s="48" t="n">
        <v>30</v>
      </c>
      <c r="G103" s="52" t="n">
        <v>60</v>
      </c>
      <c r="H103" s="51" t="n">
        <v>75</v>
      </c>
      <c r="I103" s="52" t="n">
        <v>60</v>
      </c>
      <c r="J103" s="49" t="n">
        <v>-0.2754342432</v>
      </c>
      <c r="K103" s="50" t="inlineStr">
        <is>
          <t>NVO focuses on GLP-1, a popular biotech theme, but has poor momentum and high risk. Social buzz is moderate due to KOL backing.</t>
        </is>
      </c>
    </row>
    <row r="104">
      <c r="A104" s="43" t="n">
        <v>103</v>
      </c>
      <c r="B104" s="44" t="inlineStr">
        <is>
          <t>ZENA</t>
        </is>
      </c>
      <c r="C104" s="45" t="inlineStr">
        <is>
          <t>Drone</t>
        </is>
      </c>
      <c r="D104" s="45" t="inlineStr"/>
      <c r="E104" s="54" t="n">
        <v>30</v>
      </c>
      <c r="F104" s="51" t="n">
        <v>25</v>
      </c>
      <c r="G104" s="52" t="n">
        <v>60</v>
      </c>
      <c r="H104" s="51" t="n">
        <v>80</v>
      </c>
      <c r="I104" s="48" t="n">
        <v>30</v>
      </c>
      <c r="J104" s="49" t="n">
        <v>-0.3003194888</v>
      </c>
      <c r="K104" s="50" t="inlineStr">
        <is>
          <t>ZENA operates in the Drone theme but suffers from weak momentum and high risk. Lack of KOLs results in low social buzz.</t>
        </is>
      </c>
    </row>
    <row r="105">
      <c r="A105" s="43" t="n">
        <v>104</v>
      </c>
      <c r="B105" s="44" t="inlineStr">
        <is>
          <t>AMBA</t>
        </is>
      </c>
      <c r="C105" s="45" t="inlineStr">
        <is>
          <t>Drone</t>
        </is>
      </c>
      <c r="D105" s="45" t="inlineStr">
        <is>
          <t>Semis, Optics &amp; Edge AI</t>
        </is>
      </c>
      <c r="E105" s="54" t="n">
        <v>30</v>
      </c>
      <c r="F105" s="48" t="n">
        <v>40</v>
      </c>
      <c r="G105" s="52" t="n">
        <v>65</v>
      </c>
      <c r="H105" s="51" t="n">
        <v>75</v>
      </c>
      <c r="I105" s="52" t="n">
        <v>55</v>
      </c>
      <c r="J105" s="49" t="n">
        <v>-0.3042841937</v>
      </c>
      <c r="K105" s="50" t="inlineStr">
        <is>
          <t>AMBA in Drone and Edge AI has weak momentum and high risk. Thematic relevance is moderate and social buzz is supported by KOLs.</t>
        </is>
      </c>
    </row>
    <row r="106">
      <c r="A106" s="43" t="n">
        <v>105</v>
      </c>
      <c r="B106" s="44" t="inlineStr">
        <is>
          <t>ENVX</t>
        </is>
      </c>
      <c r="C106" s="45" t="inlineStr">
        <is>
          <t>Battery</t>
        </is>
      </c>
      <c r="D106" s="45" t="inlineStr"/>
      <c r="E106" s="54" t="n">
        <v>30</v>
      </c>
      <c r="F106" s="48" t="n">
        <v>35</v>
      </c>
      <c r="G106" s="52" t="n">
        <v>55</v>
      </c>
      <c r="H106" s="51" t="n">
        <v>70</v>
      </c>
      <c r="I106" s="52" t="n">
        <v>60</v>
      </c>
      <c r="J106" s="49" t="n">
        <v>-0.3738910013</v>
      </c>
      <c r="K106" s="50" t="inlineStr">
        <is>
          <t>ENVX is in the Battery theme, which is relevant but less hot than AI or Quantum Computing. Momentum is weak with negative YTD and recent performance. Social buzz is moderate from known contributors, but risk remains high due to volatility.</t>
        </is>
      </c>
    </row>
    <row r="107">
      <c r="A107" s="43" t="n">
        <v>106</v>
      </c>
      <c r="B107" s="44" t="inlineStr">
        <is>
          <t>GTLB</t>
        </is>
      </c>
      <c r="C107" s="45" t="inlineStr">
        <is>
          <t>AI Agent</t>
        </is>
      </c>
      <c r="D107" s="45" t="inlineStr"/>
      <c r="E107" s="54" t="n">
        <v>30</v>
      </c>
      <c r="F107" s="51" t="n">
        <v>25</v>
      </c>
      <c r="G107" s="52" t="n">
        <v>65</v>
      </c>
      <c r="H107" s="51" t="n">
        <v>75</v>
      </c>
      <c r="I107" s="52" t="n">
        <v>60</v>
      </c>
      <c r="J107" s="49" t="n">
        <v>-0.3728579326</v>
      </c>
      <c r="K107" s="50" t="inlineStr">
        <is>
          <t>GTLB is in the AI Agent theme, which is relevant but the stock shows weak momentum and poor YTD performance. Social buzz from KOL and contributors is moderate. High risk due to volatility weighs on the overall score.</t>
        </is>
      </c>
    </row>
    <row r="108">
      <c r="A108" s="43" t="n">
        <v>107</v>
      </c>
      <c r="B108" s="44" t="inlineStr">
        <is>
          <t>CRSP</t>
        </is>
      </c>
      <c r="C108" s="45" t="inlineStr">
        <is>
          <t>Gene Editing</t>
        </is>
      </c>
      <c r="D108" s="45" t="inlineStr"/>
      <c r="E108" s="55" t="n">
        <v>28</v>
      </c>
      <c r="F108" s="51" t="n">
        <v>20</v>
      </c>
      <c r="G108" s="48" t="n">
        <v>40</v>
      </c>
      <c r="H108" s="51" t="n">
        <v>85</v>
      </c>
      <c r="I108" s="51" t="n">
        <v>20</v>
      </c>
      <c r="J108" s="49" t="n">
        <v>-0.09336061001</v>
      </c>
      <c r="K108" s="50" t="inlineStr">
        <is>
          <t>CRSP is in gene editing, a specialized theme but with very poor momentum and high risk. Lack of KOL backing results in low social buzz, making it less attractive currently.</t>
        </is>
      </c>
    </row>
    <row r="109">
      <c r="A109" s="43" t="n">
        <v>108</v>
      </c>
      <c r="B109" s="44" t="inlineStr">
        <is>
          <t>DNA</t>
        </is>
      </c>
      <c r="C109" s="45" t="inlineStr"/>
      <c r="D109" s="45" t="inlineStr"/>
      <c r="E109" s="55" t="n">
        <v>28</v>
      </c>
      <c r="F109" s="48" t="n">
        <v>45</v>
      </c>
      <c r="G109" s="51" t="n">
        <v>20</v>
      </c>
      <c r="H109" s="51" t="n">
        <v>70</v>
      </c>
      <c r="I109" s="51" t="n">
        <v>20</v>
      </c>
      <c r="J109" s="49" t="n">
        <v>-0.2183908046</v>
      </c>
      <c r="K109" s="50" t="inlineStr">
        <is>
          <t>DNA shows some positive momentum but lacks a clear thematic play and social buzz. High risk due to volatility lowers attractiveness.</t>
        </is>
      </c>
    </row>
    <row r="110">
      <c r="A110" s="43" t="n">
        <v>109</v>
      </c>
      <c r="B110" s="44" t="inlineStr">
        <is>
          <t>EVLV</t>
        </is>
      </c>
      <c r="C110" s="45" t="inlineStr">
        <is>
          <t>AI Detector</t>
        </is>
      </c>
      <c r="D110" s="45" t="inlineStr"/>
      <c r="E110" s="55" t="n">
        <v>28</v>
      </c>
      <c r="F110" s="48" t="n">
        <v>30</v>
      </c>
      <c r="G110" s="52" t="n">
        <v>65</v>
      </c>
      <c r="H110" s="51" t="n">
        <v>70</v>
      </c>
      <c r="I110" s="48" t="n">
        <v>40</v>
      </c>
      <c r="J110" s="49" t="n">
        <v>-0.2373134328</v>
      </c>
      <c r="K110" s="50" t="inlineStr">
        <is>
          <t>EVLV's AI Detector theme is relevant but momentum is weak and risk high. Social buzz is limited, reducing overall attractiveness.</t>
        </is>
      </c>
    </row>
    <row r="111">
      <c r="A111" s="43" t="n">
        <v>110</v>
      </c>
      <c r="B111" s="44" t="inlineStr">
        <is>
          <t>HROW</t>
        </is>
      </c>
      <c r="C111" s="45" t="inlineStr">
        <is>
          <t>Healthcare</t>
        </is>
      </c>
      <c r="D111" s="45" t="inlineStr"/>
      <c r="E111" s="55" t="n">
        <v>28</v>
      </c>
      <c r="F111" s="51" t="n">
        <v>20</v>
      </c>
      <c r="G111" s="52" t="n">
        <v>55</v>
      </c>
      <c r="H111" s="51" t="n">
        <v>80</v>
      </c>
      <c r="I111" s="52" t="n">
        <v>50</v>
      </c>
      <c r="J111" s="49" t="n">
        <v>-0.3167701863</v>
      </c>
      <c r="K111" s="50" t="inlineStr">
        <is>
          <t>HROW in Healthcare has poor momentum and high risk. Thematic relevance is moderate, supported by some KOL social buzz.</t>
        </is>
      </c>
    </row>
    <row r="112">
      <c r="A112" s="43" t="n">
        <v>111</v>
      </c>
      <c r="B112" s="44" t="inlineStr">
        <is>
          <t>CRNC</t>
        </is>
      </c>
      <c r="C112" s="45" t="inlineStr">
        <is>
          <t>Robotaxi</t>
        </is>
      </c>
      <c r="D112" s="45" t="inlineStr"/>
      <c r="E112" s="55" t="n">
        <v>28</v>
      </c>
      <c r="F112" s="48" t="n">
        <v>40</v>
      </c>
      <c r="G112" s="52" t="n">
        <v>60</v>
      </c>
      <c r="H112" s="51" t="n">
        <v>70</v>
      </c>
      <c r="I112" s="52" t="n">
        <v>65</v>
      </c>
      <c r="J112" s="49" t="n">
        <v>-0.392733564</v>
      </c>
      <c r="K112" s="50" t="inlineStr">
        <is>
          <t>CRNC operates in the Robotaxi theme, which is niche but relevant. Momentum is slightly negative but better than many peers. Strong social buzz from Benzinga and Timothy Sykes supports interest, though risk remains elevated.</t>
        </is>
      </c>
    </row>
    <row r="113">
      <c r="A113" s="43" t="n">
        <v>112</v>
      </c>
      <c r="B113" s="44" t="inlineStr">
        <is>
          <t>PATH</t>
        </is>
      </c>
      <c r="C113" s="45" t="inlineStr">
        <is>
          <t>AI Agent</t>
        </is>
      </c>
      <c r="D113" s="45" t="inlineStr"/>
      <c r="E113" s="55" t="n">
        <v>27</v>
      </c>
      <c r="F113" s="51" t="n">
        <v>28</v>
      </c>
      <c r="G113" s="47" t="n">
        <v>70</v>
      </c>
      <c r="H113" s="51" t="n">
        <v>75</v>
      </c>
      <c r="I113" s="52" t="n">
        <v>60</v>
      </c>
      <c r="J113" s="49" t="n">
        <v>-0.2707808564</v>
      </c>
      <c r="K113" s="50" t="inlineStr">
        <is>
          <t>PATH has a strong AI Agent theme and decent social buzz but suffers from poor momentum and very high risk, limiting investment appeal.</t>
        </is>
      </c>
    </row>
    <row r="114">
      <c r="A114" s="43" t="n">
        <v>113</v>
      </c>
      <c r="B114" s="44" t="inlineStr">
        <is>
          <t>TMQ</t>
        </is>
      </c>
      <c r="C114" s="45" t="inlineStr"/>
      <c r="D114" s="45" t="inlineStr"/>
      <c r="E114" s="55" t="n">
        <v>25</v>
      </c>
      <c r="F114" s="48" t="n">
        <v>30</v>
      </c>
      <c r="G114" s="48" t="n">
        <v>30</v>
      </c>
      <c r="H114" s="51" t="n">
        <v>75</v>
      </c>
      <c r="I114" s="51" t="n">
        <v>20</v>
      </c>
      <c r="J114" s="49" t="n">
        <v>-0.1525054466</v>
      </c>
      <c r="K114" s="50" t="inlineStr">
        <is>
          <t>TMQ lacks a clear theme and shows poor momentum and high risk. No notable social buzz reduces attractiveness further.</t>
        </is>
      </c>
    </row>
    <row r="115">
      <c r="A115" s="43" t="n">
        <v>114</v>
      </c>
      <c r="B115" s="44" t="inlineStr">
        <is>
          <t>IDR</t>
        </is>
      </c>
      <c r="C115" s="45" t="inlineStr"/>
      <c r="D115" s="45" t="inlineStr"/>
      <c r="E115" s="55" t="n">
        <v>25</v>
      </c>
      <c r="F115" s="51" t="n">
        <v>25</v>
      </c>
      <c r="G115" s="48" t="n">
        <v>30</v>
      </c>
      <c r="H115" s="51" t="n">
        <v>75</v>
      </c>
      <c r="I115" s="51" t="n">
        <v>20</v>
      </c>
      <c r="J115" s="49" t="n">
        <v>-0.149282762</v>
      </c>
      <c r="K115" s="50" t="inlineStr">
        <is>
          <t>IDR has no defined theme, weak momentum, and high risk. Absence of KOL support results in low social buzz.</t>
        </is>
      </c>
    </row>
    <row r="116">
      <c r="A116" s="43" t="n">
        <v>115</v>
      </c>
      <c r="B116" s="44" t="inlineStr">
        <is>
          <t>DARE</t>
        </is>
      </c>
      <c r="C116" s="45" t="inlineStr">
        <is>
          <t>Healthcare</t>
        </is>
      </c>
      <c r="D116" s="45" t="inlineStr"/>
      <c r="E116" s="55" t="n">
        <v>25</v>
      </c>
      <c r="F116" s="51" t="n">
        <v>20</v>
      </c>
      <c r="G116" s="52" t="n">
        <v>50</v>
      </c>
      <c r="H116" s="51" t="n">
        <v>75</v>
      </c>
      <c r="I116" s="52" t="n">
        <v>50</v>
      </c>
      <c r="J116" s="49" t="n">
        <v>-0.2666666667</v>
      </c>
      <c r="K116" s="50" t="inlineStr">
        <is>
          <t>DARE's healthcare theme is broad but momentum is poor with high risk. Social buzz is moderate but insufficient to offset negatives.</t>
        </is>
      </c>
    </row>
    <row r="117">
      <c r="A117" s="43" t="n">
        <v>116</v>
      </c>
      <c r="B117" s="44" t="inlineStr">
        <is>
          <t>INFQ</t>
        </is>
      </c>
      <c r="C117" s="45" t="inlineStr">
        <is>
          <t>Quantum Computing</t>
        </is>
      </c>
      <c r="D117" s="45" t="inlineStr"/>
      <c r="E117" s="55" t="n">
        <v>25</v>
      </c>
      <c r="F117" s="51" t="n">
        <v>15</v>
      </c>
      <c r="G117" s="47" t="n">
        <v>85</v>
      </c>
      <c r="H117" s="51" t="n">
        <v>90</v>
      </c>
      <c r="I117" s="52" t="n">
        <v>55</v>
      </c>
      <c r="J117" s="49" t="n">
        <v>-0.353431687</v>
      </c>
      <c r="K117" s="50" t="inlineStr">
        <is>
          <t>INFQ is a Quantum Computing stock with very weak momentum and very high risk. The theme is strong but social buzz is only moderate.</t>
        </is>
      </c>
    </row>
    <row r="118">
      <c r="A118" s="43" t="n">
        <v>117</v>
      </c>
      <c r="B118" s="44" t="inlineStr">
        <is>
          <t>SES</t>
        </is>
      </c>
      <c r="C118" s="45" t="inlineStr"/>
      <c r="D118" s="45" t="inlineStr"/>
      <c r="E118" s="55" t="n">
        <v>25</v>
      </c>
      <c r="F118" s="52" t="n">
        <v>55</v>
      </c>
      <c r="G118" s="48" t="n">
        <v>30</v>
      </c>
      <c r="H118" s="51" t="n">
        <v>70</v>
      </c>
      <c r="I118" s="51" t="n">
        <v>20</v>
      </c>
      <c r="J118" s="49" t="n">
        <v>-0.3645833333</v>
      </c>
      <c r="K118" s="50" t="inlineStr">
        <is>
          <t>SES shows positive momentum recently but suffers from very poor YTD performance and lacks a clear thematic play or social buzz. The absence of a strong theme and social backing limits its attractiveness despite short-term momentum.</t>
        </is>
      </c>
    </row>
    <row r="119">
      <c r="A119" s="43" t="n">
        <v>118</v>
      </c>
      <c r="B119" s="44" t="inlineStr">
        <is>
          <t>U</t>
        </is>
      </c>
      <c r="C119" s="45" t="inlineStr">
        <is>
          <t>AI adtech</t>
        </is>
      </c>
      <c r="D119" s="45" t="inlineStr"/>
      <c r="E119" s="55" t="n">
        <v>25</v>
      </c>
      <c r="F119" s="51" t="n">
        <v>20</v>
      </c>
      <c r="G119" s="52" t="n">
        <v>60</v>
      </c>
      <c r="H119" s="51" t="n">
        <v>75</v>
      </c>
      <c r="I119" s="52" t="n">
        <v>60</v>
      </c>
      <c r="J119" s="49" t="n">
        <v>-0.5609039548</v>
      </c>
      <c r="K119" s="50" t="inlineStr">
        <is>
          <t>U is in AI adtech with moderate social buzz but very poor YTD and recent momentum. High volatility leads to elevated risk, limiting its investment attractiveness despite thematic relevance.</t>
        </is>
      </c>
    </row>
    <row r="120">
      <c r="A120" s="43" t="n">
        <v>119</v>
      </c>
      <c r="B120" s="44" t="inlineStr">
        <is>
          <t>SUUN</t>
        </is>
      </c>
      <c r="C120" s="45" t="inlineStr">
        <is>
          <t>Aerospace</t>
        </is>
      </c>
      <c r="D120" s="45" t="inlineStr">
        <is>
          <t>Aerospace</t>
        </is>
      </c>
      <c r="E120" s="55" t="n">
        <v>25</v>
      </c>
      <c r="F120" s="51" t="n">
        <v>15</v>
      </c>
      <c r="G120" s="52" t="n">
        <v>50</v>
      </c>
      <c r="H120" s="51" t="n">
        <v>75</v>
      </c>
      <c r="I120" s="51" t="n">
        <v>10</v>
      </c>
      <c r="J120" s="49" t="n">
        <v>-0.6443298969</v>
      </c>
      <c r="K120" s="50" t="inlineStr">
        <is>
          <t>SUUN is in the Aerospace sector, which remains relevant but the stock has shown very weak momentum with a significant YTD decline of -64.43%. Lack of KOL backing and negative recent performance contribute to low social buzz and momentum scores. High volatility and poor recent returns increase the risk score.</t>
        </is>
      </c>
    </row>
    <row r="121">
      <c r="A121" s="43" t="n">
        <v>120</v>
      </c>
      <c r="B121" s="44" t="inlineStr">
        <is>
          <t>SNAP</t>
        </is>
      </c>
      <c r="C121" s="45" t="inlineStr">
        <is>
          <t>AI Distribution</t>
        </is>
      </c>
      <c r="D121" s="45" t="inlineStr"/>
      <c r="E121" s="55" t="n">
        <v>22</v>
      </c>
      <c r="F121" s="51" t="n">
        <v>10</v>
      </c>
      <c r="G121" s="52" t="n">
        <v>65</v>
      </c>
      <c r="H121" s="51" t="n">
        <v>80</v>
      </c>
      <c r="I121" s="52" t="n">
        <v>60</v>
      </c>
      <c r="J121" s="49" t="n">
        <v>-0.4391143911</v>
      </c>
      <c r="K121" s="50" t="inlineStr">
        <is>
          <t>SNAP is in AI Distribution with significant social buzz and KOL backing. However, it has the worst YTD performance and recent momentum, leading to high risk and low overall score despite thematic relevance.</t>
        </is>
      </c>
    </row>
    <row r="122">
      <c r="A122" s="43" t="n">
        <v>121</v>
      </c>
      <c r="B122" s="44" t="inlineStr">
        <is>
          <t>CDLX</t>
        </is>
      </c>
      <c r="C122" s="45" t="inlineStr">
        <is>
          <t>AI Data</t>
        </is>
      </c>
      <c r="D122" s="45" t="inlineStr"/>
      <c r="E122" s="55" t="n">
        <v>20</v>
      </c>
      <c r="F122" s="51" t="n">
        <v>15</v>
      </c>
      <c r="G122" s="52" t="n">
        <v>60</v>
      </c>
      <c r="H122" s="51" t="n">
        <v>80</v>
      </c>
      <c r="I122" s="51" t="n">
        <v>25</v>
      </c>
      <c r="J122" s="49" t="n">
        <v>-0.4017857143</v>
      </c>
      <c r="K122" s="50" t="inlineStr">
        <is>
          <t>CDLX is in AI Data but suffers from very poor momentum and the worst recent weekly performance. Lack of social buzz and high volatility contribute to a high risk score and low overall attractiveness.</t>
        </is>
      </c>
    </row>
  </sheetData>
  <pageMargins left="0.75" right="0.75" top="1" bottom="1" header="0.5" footer="0.5"/>
</worksheet>
</file>

<file path=xl/worksheets/sheet2.xml><?xml version="1.0" encoding="utf-8"?>
<worksheet xmlns="http://schemas.openxmlformats.org/spreadsheetml/2006/main">
  <sheetPr>
    <outlinePr summaryBelow="0" summaryRight="0"/>
    <pageSetUpPr/>
  </sheetPr>
  <dimension ref="A1:AC1006"/>
  <sheetViews>
    <sheetView workbookViewId="0">
      <selection activeCell="A1" sqref="A1"/>
    </sheetView>
  </sheetViews>
  <sheetFormatPr baseColWidth="8" defaultColWidth="12.63" defaultRowHeight="15.75" customHeight="1"/>
  <cols>
    <col width="12" customWidth="1" style="41" min="1" max="1"/>
    <col width="10" customWidth="1" style="41" min="2" max="2"/>
    <col width="20.88" customWidth="1" style="41" min="3" max="3"/>
    <col width="29.13" customWidth="1" style="41" min="4" max="4"/>
    <col width="8.880000000000001" customWidth="1" style="41" min="5" max="5"/>
    <col width="26.13" customWidth="1" style="41" min="6" max="6"/>
    <col width="42.38" customWidth="1" style="41" min="7" max="7"/>
    <col width="18.75" customWidth="1" style="41" min="8" max="8"/>
    <col width="20.25" customWidth="1" style="41" min="9" max="9"/>
    <col width="22" customWidth="1" style="41" min="10" max="10"/>
    <col width="15" customWidth="1" style="41" min="24" max="24"/>
    <col width="15" customWidth="1" style="41" min="25" max="25"/>
    <col width="15" customWidth="1" style="41" min="26" max="26"/>
    <col width="15" customWidth="1" style="41" min="27" max="27"/>
    <col width="18" customWidth="1" style="41" min="28" max="28"/>
    <col width="60" customWidth="1" style="41" min="29" max="29"/>
  </cols>
  <sheetData>
    <row r="1">
      <c r="A1" s="23" t="inlineStr">
        <is>
          <t>Symbol</t>
        </is>
      </c>
      <c r="B1" s="23" t="inlineStr">
        <is>
          <t>Theme</t>
        </is>
      </c>
      <c r="C1" s="23" t="inlineStr">
        <is>
          <t>first call X kol</t>
        </is>
      </c>
      <c r="D1" s="23" t="inlineStr">
        <is>
          <t>first call x post</t>
        </is>
      </c>
      <c r="E1" s="23" t="inlineStr">
        <is>
          <t>first call date</t>
        </is>
      </c>
      <c r="F1" s="23" t="inlineStr">
        <is>
          <t>top contributor</t>
        </is>
      </c>
      <c r="G1" s="23" t="inlineStr">
        <is>
          <t>top investment thesis post</t>
        </is>
      </c>
      <c r="H1" s="26" t="inlineStr">
        <is>
          <t>performance past 7 days</t>
        </is>
      </c>
      <c r="I1" s="26" t="inlineStr">
        <is>
          <t>performance Year to Date</t>
        </is>
      </c>
      <c r="J1" s="23" t="inlineStr">
        <is>
          <t>performance on specific dates</t>
        </is>
      </c>
      <c r="X1" s="42" t="inlineStr">
        <is>
          <t>AI Overall Score</t>
        </is>
      </c>
      <c r="Y1" s="42" t="inlineStr">
        <is>
          <t>AI Momentum Score</t>
        </is>
      </c>
      <c r="Z1" s="42" t="inlineStr">
        <is>
          <t>AI Theme Score</t>
        </is>
      </c>
      <c r="AA1" s="42" t="inlineStr">
        <is>
          <t>AI Risk Score</t>
        </is>
      </c>
      <c r="AB1" s="42" t="inlineStr">
        <is>
          <t>AI Social Buzz Score</t>
        </is>
      </c>
      <c r="AC1" s="42" t="inlineStr">
        <is>
          <t>AI Brief Analysis</t>
        </is>
      </c>
    </row>
    <row r="2">
      <c r="A2" s="23" t="inlineStr">
        <is>
          <t>EQRLF</t>
        </is>
      </c>
      <c r="H2" s="26">
        <f>IFERROR(__xludf.DUMMYFUNCTION("((GOOGLEFINANCE(A2, ""price"") / INDEX(GOOGLEFINANCE(A2, ""close"", TODAY()-7), 2, 2)) - 1 )
"),0.13043478260869557)</f>
        <v/>
      </c>
      <c r="I2" s="26">
        <f>IFERROR(__xludf.DUMMYFUNCTION("(GOOGLEFINANCE(A2, ""price"") / INDEX(GOOGLEFINANCE(A2, ""close"", DATE(YEAR(TODAY()), 1, 1), TODAY()), 2, 2)) - 1"),3.333333333333334)</f>
        <v/>
      </c>
      <c r="J2" s="26" t="n"/>
      <c r="X2" s="56" t="n">
        <v>85</v>
      </c>
      <c r="Y2" s="56" t="n">
        <v>95</v>
      </c>
      <c r="Z2" s="56" t="n">
        <v>20</v>
      </c>
      <c r="AA2" s="56" t="n">
        <v>70</v>
      </c>
      <c r="AB2" s="56" t="n">
        <v>10</v>
      </c>
      <c r="AC2" s="57" t="inlineStr">
        <is>
          <t>EQRLF shows exceptional YTD momentum with a 333.33% gain and strong recent weekly performance. However, lack of clear thematic relevance and minimal social buzz limit its appeal. High volatility contributes to a higher risk score.</t>
        </is>
      </c>
    </row>
    <row r="3">
      <c r="A3" s="23" t="inlineStr">
        <is>
          <t>GDRZF</t>
        </is>
      </c>
      <c r="B3" s="23" t="inlineStr">
        <is>
          <t>Venezula</t>
        </is>
      </c>
      <c r="C3" s="4" t="inlineStr">
        <is>
          <t>https://x.com/LionelHutz_Esq</t>
        </is>
      </c>
      <c r="D3" s="5" t="inlineStr">
        <is>
          <t>https://x.com/LionelHutz_Esq/status/1817837593326715216</t>
        </is>
      </c>
      <c r="E3" s="40" t="n">
        <v>45497</v>
      </c>
      <c r="F3" s="4" t="inlineStr">
        <is>
          <t>https://x.com/aleabitoreddit</t>
        </is>
      </c>
      <c r="G3" s="5" t="inlineStr">
        <is>
          <t>https://x.com/aleabitoreddit/status/2007758407948788162</t>
        </is>
      </c>
      <c r="H3" s="26">
        <f>IFERROR(__xludf.DUMMYFUNCTION("((GOOGLEFINANCE(A3, ""price"") / INDEX(GOOGLEFINANCE(A3, ""close"", TODAY()-7), 2, 2)) - 1 )
"),-0.07335907335907332)</f>
        <v/>
      </c>
      <c r="I3" s="26">
        <f>IFERROR(__xludf.DUMMYFUNCTION("(GOOGLEFINANCE(A3, ""price"") / INDEX(GOOGLEFINANCE(A3, ""close"", DATE(YEAR(TODAY()), 1, 1), TODAY()), 2, 2)) - 1"),1.8571428571428572)</f>
        <v/>
      </c>
      <c r="J3" s="26">
        <f>IFERROR(__xludf.DUMMYFUNCTION("((GOOGLEFINANCE(A3, ""price"") / INDEX(GOOGLEFINANCE(A3, ""close"", DATE(2026,2,20)), 2, 2)) - 1 )
"),0.29729729729729715)</f>
        <v/>
      </c>
      <c r="X3" s="56" t="n">
        <v>65</v>
      </c>
      <c r="Y3" s="56" t="n">
        <v>70</v>
      </c>
      <c r="Z3" s="56" t="n">
        <v>40</v>
      </c>
      <c r="AA3" s="56" t="n">
        <v>80</v>
      </c>
      <c r="AB3" s="56" t="n">
        <v>50</v>
      </c>
      <c r="AC3" s="57" t="inlineStr">
        <is>
          <t>GDRZF has strong YTD gains but recent negative momentum. The Venezuela theme is niche but relevant for geopolitical plays. Moderate social buzz from known contributors helps, but volatility and geopolitical risks increase risk.</t>
        </is>
      </c>
    </row>
    <row r="4">
      <c r="A4" s="23" t="inlineStr">
        <is>
          <t>AXTI</t>
        </is>
      </c>
      <c r="B4" s="23" t="inlineStr">
        <is>
          <t>Photonics</t>
        </is>
      </c>
      <c r="C4" s="4" t="inlineStr">
        <is>
          <t>https://x.com/YieldCurveBalI</t>
        </is>
      </c>
      <c r="D4" s="4" t="inlineStr">
        <is>
          <t>https://x.com/YieldCurveBalI/status/1906717314575397222</t>
        </is>
      </c>
      <c r="E4" s="39" t="n">
        <v>45747</v>
      </c>
      <c r="F4" s="4" t="inlineStr">
        <is>
          <t>https://x.com/aleabitoreddit</t>
        </is>
      </c>
      <c r="G4" s="4" t="inlineStr">
        <is>
          <t>https://x.com/BankofVol/status/2009707687693451596</t>
        </is>
      </c>
      <c r="H4" s="26">
        <f>IFERROR(__xludf.DUMMYFUNCTION("((GOOGLEFINANCE(A4, ""price"") / INDEX(GOOGLEFINANCE(A4, ""close"", TODAY()-7), 2, 2)) - 1 )
"),0.26711618257261405)</f>
        <v/>
      </c>
      <c r="I4" s="26">
        <f>IFERROR(__xludf.DUMMYFUNCTION("(GOOGLEFINANCE(A4, ""price"") / INDEX(GOOGLEFINANCE(A4, ""close"", DATE(YEAR(TODAY()), 1, 1), TODAY()), 2, 2)) - 1"),1.9152744630071594)</f>
        <v/>
      </c>
      <c r="J4" s="26">
        <f>IFERROR(__xludf.DUMMYFUNCTION("((GOOGLEFINANCE(A4, ""price"") / INDEX(GOOGLEFINANCE(A4, ""close"", DATE(2026,2,20)), 2, 2)) - 1 )
"),0.6462264150943395)</f>
        <v/>
      </c>
      <c r="X4" s="56" t="n">
        <v>80</v>
      </c>
      <c r="Y4" s="56" t="n">
        <v>90</v>
      </c>
      <c r="Z4" s="56" t="n">
        <v>75</v>
      </c>
      <c r="AA4" s="56" t="n">
        <v>65</v>
      </c>
      <c r="AB4" s="56" t="n">
        <v>60</v>
      </c>
      <c r="AC4" s="57" t="inlineStr">
        <is>
          <t>AXTI benefits from strong momentum and a relevant photonics theme, which is gaining traction. Good social media presence supports its visibility. Moderate risk due to volatility but overall attractive for thematic investors.</t>
        </is>
      </c>
    </row>
    <row r="5">
      <c r="A5" s="23" t="inlineStr">
        <is>
          <t>AAOI</t>
        </is>
      </c>
      <c r="B5" s="23" t="inlineStr">
        <is>
          <t>Photonics</t>
        </is>
      </c>
      <c r="C5" s="4" t="inlineStr">
        <is>
          <t>https://x.com/Venu_7_</t>
        </is>
      </c>
      <c r="D5" s="5" t="inlineStr">
        <is>
          <t>https://x.com/Venu_7_/status/1953557794030072164</t>
        </is>
      </c>
      <c r="E5" s="40" t="n">
        <v>45877</v>
      </c>
      <c r="F5" s="5" t="inlineStr">
        <is>
          <t>https://x.com/crux_capital_</t>
        </is>
      </c>
      <c r="H5" s="26">
        <f>IFERROR(__xludf.DUMMYFUNCTION("((GOOGLEFINANCE(A5, ""price"") / INDEX(GOOGLEFINANCE(A5, ""close"", TODAY()-7), 2, 2)) - 1 )
"),-0.12484180075935636)</f>
        <v/>
      </c>
      <c r="I5" s="26">
        <f>IFERROR(__xludf.DUMMYFUNCTION("(GOOGLEFINANCE(A5, ""price"") / INDEX(GOOGLEFINANCE(A5, ""close"", DATE(YEAR(TODAY()), 1, 1), TODAY()), 2, 2)) - 1"),1.4446969696969698)</f>
        <v/>
      </c>
      <c r="J5" s="26">
        <f>IFERROR(__xludf.DUMMYFUNCTION("((GOOGLEFINANCE(A5, ""price"") / INDEX(GOOGLEFINANCE(A5, ""close"", DATE(2026,2,20)), 2, 2)) - 1 )
"),0.8732585139318887)</f>
        <v/>
      </c>
      <c r="X5" s="56" t="n">
        <v>70</v>
      </c>
      <c r="Y5" s="56" t="n">
        <v>50</v>
      </c>
      <c r="Z5" s="56" t="n">
        <v>70</v>
      </c>
      <c r="AA5" s="56" t="n">
        <v>75</v>
      </c>
      <c r="AB5" s="56" t="n">
        <v>60</v>
      </c>
      <c r="AC5" s="57" t="inlineStr">
        <is>
          <t>AAOI has strong thematic relevance in photonics but recent negative momentum weighs on its score. Social buzz is decent, supporting interest. Higher volatility increases risk, making it a cautious thematic play.</t>
        </is>
      </c>
    </row>
    <row r="6">
      <c r="A6" s="23" t="inlineStr">
        <is>
          <t>FSLY</t>
        </is>
      </c>
      <c r="C6" s="4" t="inlineStr">
        <is>
          <t>https://x.com/Analytica_X</t>
        </is>
      </c>
      <c r="D6" s="5" t="inlineStr">
        <is>
          <t>https://x.com/Analytica_X/status/1987496343699370285</t>
        </is>
      </c>
      <c r="E6" s="39" t="n">
        <v>45970</v>
      </c>
      <c r="F6" s="5" t="inlineStr">
        <is>
          <t>https://x.com/adudetrading</t>
        </is>
      </c>
      <c r="H6" s="26">
        <f>IFERROR(__xludf.DUMMYFUNCTION("((GOOGLEFINANCE(A6, ""price"") / INDEX(GOOGLEFINANCE(A6, ""close"", TODAY()-7), 2, 2)) - 1 )
"),0.12597343105817682)</f>
        <v/>
      </c>
      <c r="I6" s="26">
        <f>IFERROR(__xludf.DUMMYFUNCTION("(GOOGLEFINANCE(A6, ""price"") / INDEX(GOOGLEFINANCE(A6, ""close"", DATE(YEAR(TODAY()), 1, 1), TODAY()), 2, 2)) - 1"),1.4121687929342492)</f>
        <v/>
      </c>
      <c r="J6" s="26">
        <f>IFERROR(__xludf.DUMMYFUNCTION("((GOOGLEFINANCE(A6, ""price"") / INDEX(GOOGLEFINANCE(A6, ""close"", DATE(2026,2,20)), 2, 2)) - 1 )
"),0.3595132743362832)</f>
        <v/>
      </c>
      <c r="X6" s="56" t="n">
        <v>75</v>
      </c>
      <c r="Y6" s="56" t="n">
        <v>80</v>
      </c>
      <c r="Z6" s="56" t="n">
        <v>25</v>
      </c>
      <c r="AA6" s="56" t="n">
        <v>60</v>
      </c>
      <c r="AB6" s="56" t="n">
        <v>55</v>
      </c>
      <c r="AC6" s="57" t="inlineStr">
        <is>
          <t>FSLY shows solid momentum and decent social media backing but lacks a strong thematic angle. Moderate risk due to volatility and steady performance make it a balanced pick.</t>
        </is>
      </c>
    </row>
    <row r="7">
      <c r="A7" s="23" t="inlineStr">
        <is>
          <t>ALM</t>
        </is>
      </c>
      <c r="C7" s="5" t="inlineStr">
        <is>
          <t>https://x.com/Alexsei88</t>
        </is>
      </c>
      <c r="F7" s="5" t="inlineStr">
        <is>
          <t>https://x.com/Alexsei88</t>
        </is>
      </c>
      <c r="H7" s="26">
        <f>IFERROR(__xludf.DUMMYFUNCTION("((GOOGLEFINANCE(A7, ""price"") / INDEX(GOOGLEFINANCE(A7, ""close"", TODAY()-7), 2, 2)) - 1 )
"),-0.0010152284263958977)</f>
        <v/>
      </c>
      <c r="I7" s="26">
        <f>IFERROR(__xludf.DUMMYFUNCTION("(GOOGLEFINANCE(A7, ""price"") / INDEX(GOOGLEFINANCE(A7, ""close"", DATE(YEAR(TODAY()), 1, 1), TODAY()), 2, 2)) - 1"),1.2363636363636363)</f>
        <v/>
      </c>
      <c r="J7" s="26">
        <f>IFERROR(__xludf.DUMMYFUNCTION("((GOOGLEFINANCE(A7, ""price"") / INDEX(GOOGLEFINANCE(A7, ""close"", DATE(2026,2,20)), 2, 2)) - 1 )
"),0.3351424694708276)</f>
        <v/>
      </c>
      <c r="X7" s="56" t="n">
        <v>60</v>
      </c>
      <c r="Y7" s="56" t="n">
        <v>55</v>
      </c>
      <c r="Z7" s="56" t="n">
        <v>20</v>
      </c>
      <c r="AA7" s="56" t="n">
        <v>50</v>
      </c>
      <c r="AB7" s="56" t="n">
        <v>40</v>
      </c>
      <c r="AC7" s="57" t="inlineStr">
        <is>
          <t>ALM has moderate YTD performance and minimal momentum recently. Lack of theme and moderate social buzz reduce attractiveness. Lower volatility results in moderate risk.</t>
        </is>
      </c>
    </row>
    <row r="8">
      <c r="A8" s="23" t="inlineStr">
        <is>
          <t>AMPX</t>
        </is>
      </c>
      <c r="B8" s="23" t="inlineStr">
        <is>
          <t>Battery</t>
        </is>
      </c>
      <c r="C8" s="4" t="inlineStr">
        <is>
          <t>https://x.com/DekmarTrades</t>
        </is>
      </c>
      <c r="D8" s="4" t="inlineStr">
        <is>
          <t>https://x.com/DekmarTrades/status/1970455842924437675</t>
        </is>
      </c>
      <c r="E8" s="40" t="n">
        <v>45923</v>
      </c>
      <c r="F8" s="4" t="inlineStr">
        <is>
          <t>https://x.com/pennycheck</t>
        </is>
      </c>
      <c r="G8" s="23" t="n"/>
      <c r="H8" s="26">
        <f>IFERROR(__xludf.DUMMYFUNCTION("((GOOGLEFINANCE(A8, ""price"") / INDEX(GOOGLEFINANCE(A8, ""close"", TODAY()-7), 2, 2)) - 1 )
"),0.012979683972911937)</f>
        <v/>
      </c>
      <c r="I8" s="26">
        <f>IFERROR(__xludf.DUMMYFUNCTION("(GOOGLEFINANCE(A8, ""price"") / INDEX(GOOGLEFINANCE(A8, ""close"", DATE(YEAR(TODAY()), 1, 1), TODAY()), 2, 2)) - 1"),1.0537757437070936)</f>
        <v/>
      </c>
      <c r="J8" s="26">
        <f>IFERROR(__xludf.DUMMYFUNCTION("((GOOGLEFINANCE(A8, ""price"") / INDEX(GOOGLEFINANCE(A8, ""close"", DATE(2026,2,20)), 2, 2)) - 1 )
"),0.8855042016806722)</f>
        <v/>
      </c>
      <c r="X8" s="56" t="n">
        <v>78</v>
      </c>
      <c r="Y8" s="56" t="n">
        <v>60</v>
      </c>
      <c r="Z8" s="56" t="n">
        <v>80</v>
      </c>
      <c r="AA8" s="56" t="n">
        <v>55</v>
      </c>
      <c r="AB8" s="56" t="n">
        <v>50</v>
      </c>
      <c r="AC8" s="57" t="inlineStr">
        <is>
          <t>AMPX has a strong theme with solid state batteries and edge AI relevance. Momentum is moderate but steady. Social buzz is decent and risk is moderate due to sector volatility.</t>
        </is>
      </c>
    </row>
    <row r="9">
      <c r="A9" s="23" t="inlineStr">
        <is>
          <t>UCTT</t>
        </is>
      </c>
      <c r="C9" s="4" t="inlineStr">
        <is>
          <t>https://x.com/Clayhams1</t>
        </is>
      </c>
      <c r="D9" s="5" t="inlineStr">
        <is>
          <t>https://x.com/Clayhams1/status/1978636447025705213</t>
        </is>
      </c>
      <c r="E9" s="39" t="n">
        <v>45946</v>
      </c>
      <c r="F9" s="4" t="inlineStr">
        <is>
          <t>https://x.com/DeNebulord</t>
        </is>
      </c>
      <c r="G9" s="5" t="inlineStr">
        <is>
          <t>https://x.com/DeNebulord/status/2013008329027502438</t>
        </is>
      </c>
      <c r="H9" s="26">
        <f>IFERROR(__xludf.DUMMYFUNCTION("((GOOGLEFINANCE(A9, ""price"") / INDEX(GOOGLEFINANCE(A9, ""close"", TODAY()-7), 2, 2)) - 1 )
"),0.03913043478260869)</f>
        <v/>
      </c>
      <c r="I9" s="26">
        <f>IFERROR(__xludf.DUMMYFUNCTION("(GOOGLEFINANCE(A9, ""price"") / INDEX(GOOGLEFINANCE(A9, ""close"", DATE(YEAR(TODAY()), 1, 1), TODAY()), 2, 2)) - 1"),1.01207906295754)</f>
        <v/>
      </c>
      <c r="J9" s="26">
        <f>IFERROR(__xludf.DUMMYFUNCTION("((GOOGLEFINANCE(A9, ""price"") / INDEX(GOOGLEFINANCE(A9, ""close"", DATE(2026,2,20)), 2, 2)) - 1 )
"),-0.07066779374471677)</f>
        <v/>
      </c>
      <c r="X9" s="56" t="n">
        <v>65</v>
      </c>
      <c r="Y9" s="56" t="n">
        <v>60</v>
      </c>
      <c r="Z9" s="56" t="n">
        <v>20</v>
      </c>
      <c r="AA9" s="56" t="n">
        <v>50</v>
      </c>
      <c r="AB9" s="56" t="n">
        <v>45</v>
      </c>
      <c r="AC9" s="57" t="inlineStr">
        <is>
          <t>UCTT shows moderate momentum and social buzz but lacks a strong thematic play. Risk is moderate with stable performance, making it a cautious option.</t>
        </is>
      </c>
    </row>
    <row r="10">
      <c r="A10" s="23" t="inlineStr">
        <is>
          <t>ICHR</t>
        </is>
      </c>
      <c r="C10" s="4" t="inlineStr">
        <is>
          <t>https://x.com/TheValueist</t>
        </is>
      </c>
      <c r="D10" s="5" t="inlineStr">
        <is>
          <t>https://x.com/TheValueist/status/1953608927293153628</t>
        </is>
      </c>
      <c r="E10" s="40" t="n">
        <v>45877</v>
      </c>
      <c r="F10" s="4" t="inlineStr">
        <is>
          <t>https://x.com/TheValueist</t>
        </is>
      </c>
      <c r="G10" s="5" t="inlineStr">
        <is>
          <t>https://x.com/TheValueist/status/2021608497046036807</t>
        </is>
      </c>
      <c r="H10" s="26">
        <f>IFERROR(__xludf.DUMMYFUNCTION("((GOOGLEFINANCE(A10, ""price"") / INDEX(GOOGLEFINANCE(A10, ""close"", TODAY()-7), 2, 2)) - 1 )
"),-0.007189072609633307)</f>
        <v/>
      </c>
      <c r="I10" s="26">
        <f>IFERROR(__xludf.DUMMYFUNCTION("(GOOGLEFINANCE(A10, ""price"") / INDEX(GOOGLEFINANCE(A10, ""close"", DATE(YEAR(TODAY()), 1, 1), TODAY()), 2, 2)) - 1"),1.0298873101420871)</f>
        <v/>
      </c>
      <c r="J10" s="26">
        <f>IFERROR(__xludf.DUMMYFUNCTION("((GOOGLEFINANCE(A10, ""price"") / INDEX(GOOGLEFINANCE(A10, ""close"", DATE(2026,2,20)), 2, 2)) - 1 )
"),-0.1771598808341609)</f>
        <v/>
      </c>
      <c r="X10" s="56" t="n">
        <v>60</v>
      </c>
      <c r="Y10" s="56" t="n">
        <v>50</v>
      </c>
      <c r="Z10" s="56" t="n">
        <v>20</v>
      </c>
      <c r="AA10" s="56" t="n">
        <v>55</v>
      </c>
      <c r="AB10" s="56" t="n">
        <v>40</v>
      </c>
      <c r="AC10" s="57" t="inlineStr">
        <is>
          <t>ICHR has modest YTD gains but recent negative momentum. No clear theme and moderate social buzz limit its appeal. Risk is moderate due to some volatility.</t>
        </is>
      </c>
    </row>
    <row r="11">
      <c r="A11" s="23" t="inlineStr">
        <is>
          <t>PSRHF</t>
        </is>
      </c>
      <c r="B11" s="23" t="inlineStr">
        <is>
          <t>Helium 3</t>
        </is>
      </c>
      <c r="C11" s="4" t="inlineStr">
        <is>
          <t>https://x.com/Minnvestor</t>
        </is>
      </c>
      <c r="D11" s="5" t="inlineStr">
        <is>
          <t>https://x.com/Minnvestor/status/1851698973821513794</t>
        </is>
      </c>
      <c r="E11" s="39" t="n">
        <v>45596</v>
      </c>
      <c r="F11" s="5" t="inlineStr">
        <is>
          <t>https://x.com/Share_Talk</t>
        </is>
      </c>
      <c r="G11" s="23" t="n"/>
      <c r="H11" s="26">
        <f>IFERROR(__xludf.DUMMYFUNCTION("((GOOGLEFINANCE(A11, ""price"") / INDEX(GOOGLEFINANCE(A11, ""close"", TODAY()-7), 2, 2)) - 1 )
"),0.20353982300884965)</f>
        <v/>
      </c>
      <c r="I11" s="26">
        <f>IFERROR(__xludf.DUMMYFUNCTION("(GOOGLEFINANCE(A11, ""price"") / INDEX(GOOGLEFINANCE(A11, ""close"", DATE(YEAR(TODAY()), 1, 1), TODAY()), 2, 2)) - 1"),1.1935483870967745)</f>
        <v/>
      </c>
      <c r="J11" s="26">
        <f>IFERROR(__xludf.DUMMYFUNCTION("((GOOGLEFINANCE(A11, ""price"") / INDEX(GOOGLEFINANCE(A11, ""close"", DATE(2026,2,20)), 2, 2)) - 1 )
"),0.1826086956521742)</f>
        <v/>
      </c>
      <c r="X11" s="56" t="n">
        <v>75</v>
      </c>
      <c r="Y11" s="56" t="n">
        <v>85</v>
      </c>
      <c r="Z11" s="56" t="n">
        <v>70</v>
      </c>
      <c r="AA11" s="56" t="n">
        <v>60</v>
      </c>
      <c r="AB11" s="56" t="n">
        <v>55</v>
      </c>
      <c r="AC11" s="57" t="inlineStr">
        <is>
          <t>PSRHF benefits from strong momentum and a niche Helium 3 theme with future potential. Social buzz is good, supporting interest. Moderate risk due to volatility.</t>
        </is>
      </c>
    </row>
    <row r="12">
      <c r="A12" s="23" t="inlineStr">
        <is>
          <t>ATOM</t>
        </is>
      </c>
      <c r="C12" s="4" t="inlineStr">
        <is>
          <t>https://x.com/Analytica_X</t>
        </is>
      </c>
      <c r="D12" s="5" t="inlineStr">
        <is>
          <t>https://x.com/Analytica_X/status/1949458210932326732</t>
        </is>
      </c>
      <c r="E12" s="40" t="n">
        <v>45863</v>
      </c>
      <c r="F12" s="5" t="inlineStr">
        <is>
          <t>https://x.com/Thebullwhisper</t>
        </is>
      </c>
      <c r="H12" s="26">
        <f>IFERROR(__xludf.DUMMYFUNCTION("((GOOGLEFINANCE(A12, ""price"") / INDEX(GOOGLEFINANCE(A12, ""close"", TODAY()-7), 2, 2)) - 1 )
"),0.00877192982456143)</f>
        <v/>
      </c>
      <c r="I12" s="26">
        <f>IFERROR(__xludf.DUMMYFUNCTION("(GOOGLEFINANCE(A12, ""price"") / INDEX(GOOGLEFINANCE(A12, ""close"", DATE(YEAR(TODAY()), 1, 1), TODAY()), 2, 2)) - 1"),0.9491525423728813)</f>
        <v/>
      </c>
      <c r="J12" s="26">
        <f>IFERROR(__xludf.DUMMYFUNCTION("((GOOGLEFINANCE(A12, ""price"") / INDEX(GOOGLEFINANCE(A12, ""close"", DATE(2026,2,20)), 2, 2)) - 1 )
"),-0.34285714285714286)</f>
        <v/>
      </c>
      <c r="X12" s="56" t="n">
        <v>55</v>
      </c>
      <c r="Y12" s="56" t="n">
        <v>45</v>
      </c>
      <c r="Z12" s="56" t="n">
        <v>20</v>
      </c>
      <c r="AA12" s="56" t="n">
        <v>65</v>
      </c>
      <c r="AB12" s="56" t="n">
        <v>50</v>
      </c>
      <c r="AC12" s="57" t="inlineStr">
        <is>
          <t>ATOM has weak recent momentum and no clear thematic relevance. Social buzz is moderate but recent negative performance increases risk.</t>
        </is>
      </c>
    </row>
    <row r="13">
      <c r="A13" s="23" t="inlineStr">
        <is>
          <t>INTT</t>
        </is>
      </c>
      <c r="C13" s="5" t="inlineStr">
        <is>
          <t>https://x.com/TentyTheToitle</t>
        </is>
      </c>
      <c r="D13" s="5" t="inlineStr">
        <is>
          <t>https://x.com/TentyTheToitle/status/1898062935542444477</t>
        </is>
      </c>
      <c r="E13" s="40" t="n">
        <v>45724</v>
      </c>
      <c r="F13" s="5" t="inlineStr">
        <is>
          <t>https://x.com/RobertMarcin</t>
        </is>
      </c>
      <c r="H13" s="26">
        <f>IFERROR(__xludf.DUMMYFUNCTION("((GOOGLEFINANCE(A13, ""price"") / INDEX(GOOGLEFINANCE(A13, ""close"", TODAY()-7), 2, 2)) - 1 )
"),0.027205882352941302)</f>
        <v/>
      </c>
      <c r="I13" s="26">
        <f>IFERROR(__xludf.DUMMYFUNCTION("(GOOGLEFINANCE(A13, ""price"") / INDEX(GOOGLEFINANCE(A13, ""close"", DATE(YEAR(TODAY()), 1, 1), TODAY()), 2, 2)) - 1"),0.8527851458885942)</f>
        <v/>
      </c>
      <c r="J13" s="26">
        <f>IFERROR(__xludf.DUMMYFUNCTION("((GOOGLEFINANCE(A13, ""price"") / INDEX(GOOGLEFINANCE(A13, ""close"", DATE(2026,2,20)), 2, 2)) - 1 )
"),0.40826612903225823)</f>
        <v/>
      </c>
      <c r="X13" s="56" t="n">
        <v>60</v>
      </c>
      <c r="Y13" s="56" t="n">
        <v>55</v>
      </c>
      <c r="Z13" s="56" t="n">
        <v>20</v>
      </c>
      <c r="AA13" s="56" t="n">
        <v>50</v>
      </c>
      <c r="AB13" s="56" t="n">
        <v>40</v>
      </c>
      <c r="AC13" s="57" t="inlineStr">
        <is>
          <t>INTT shows moderate momentum and social buzz but lacks a strong thematic angle. Risk is moderate with steady performance.</t>
        </is>
      </c>
    </row>
    <row r="14">
      <c r="A14" s="23" t="inlineStr">
        <is>
          <t>RCAT</t>
        </is>
      </c>
      <c r="B14" s="23" t="inlineStr">
        <is>
          <t>Drone</t>
        </is>
      </c>
      <c r="C14" s="4" t="inlineStr">
        <is>
          <t>https://x.com/itech_analyst</t>
        </is>
      </c>
      <c r="D14" s="4" t="inlineStr">
        <is>
          <t>https://x.com/itech_analyst/status/1838611381639172150</t>
        </is>
      </c>
      <c r="E14" s="40" t="n">
        <v>45559</v>
      </c>
      <c r="F14" s="4" t="inlineStr">
        <is>
          <t>https://x.com/TheValueist</t>
        </is>
      </c>
      <c r="G14" s="4" t="inlineStr">
        <is>
          <t>https://x.com/TheValueist/status/2009687551272210617</t>
        </is>
      </c>
      <c r="H14" s="26">
        <f>IFERROR(__xludf.DUMMYFUNCTION("((GOOGLEFINANCE(A14, ""price"") / INDEX(GOOGLEFINANCE(A14, ""close"", TODAY()-7), 2, 2)) - 1 )
"),0.12482269503546095)</f>
        <v/>
      </c>
      <c r="I14" s="26">
        <f>IFERROR(__xludf.DUMMYFUNCTION("(GOOGLEFINANCE(A14, ""price"") / INDEX(GOOGLEFINANCE(A14, ""close"", DATE(YEAR(TODAY()), 1, 1), TODAY()), 2, 2)) - 1"),0.7314410480349345)</f>
        <v/>
      </c>
      <c r="J14" s="26">
        <f>IFERROR(__xludf.DUMMYFUNCTION("((GOOGLEFINANCE(A14, ""price"") / INDEX(GOOGLEFINANCE(A14, ""close"", DATE(2026,2,20)), 2, 2)) - 1 )
"),0.27185244587008817)</f>
        <v/>
      </c>
      <c r="X14" s="56" t="n">
        <v>70</v>
      </c>
      <c r="Y14" s="56" t="n">
        <v>75</v>
      </c>
      <c r="Z14" s="56" t="n">
        <v>65</v>
      </c>
      <c r="AA14" s="56" t="n">
        <v>55</v>
      </c>
      <c r="AB14" s="56" t="n">
        <v>50</v>
      </c>
      <c r="AC14" s="57" t="inlineStr">
        <is>
          <t>RCAT has solid momentum and a relevant defense drone theme. Social buzz is moderate, and risk is relatively contained, making it an attractive thematic play.</t>
        </is>
      </c>
    </row>
    <row r="15">
      <c r="A15" s="23" t="inlineStr">
        <is>
          <t>AEHR</t>
        </is>
      </c>
      <c r="B15" s="23" t="n"/>
      <c r="C15" s="5" t="inlineStr">
        <is>
          <t>https://x.com/SunvMikey</t>
        </is>
      </c>
      <c r="D15" s="5" t="inlineStr">
        <is>
          <t>https://x.com/SunvMikey/status/1995505692267167986</t>
        </is>
      </c>
      <c r="E15" s="40" t="n">
        <v>45992</v>
      </c>
      <c r="F15" s="5" t="inlineStr">
        <is>
          <t>https://x.com/SunvMikey</t>
        </is>
      </c>
      <c r="G15" s="5" t="inlineStr">
        <is>
          <t>https://x.com/SunvMikey/status/1995505692267167986</t>
        </is>
      </c>
      <c r="H15" s="26">
        <f>IFERROR(__xludf.DUMMYFUNCTION("((GOOGLEFINANCE(A15, ""price"") / INDEX(GOOGLEFINANCE(A15, ""close"", TODAY()-7), 2, 2)) - 1 )
"),-0.1274461839530333)</f>
        <v/>
      </c>
      <c r="I15" s="26">
        <f>IFERROR(__xludf.DUMMYFUNCTION("(GOOGLEFINANCE(A15, ""price"") / INDEX(GOOGLEFINANCE(A15, ""close"", DATE(YEAR(TODAY()), 1, 1), TODAY()), 2, 2)) - 1"),0.6096570397111913)</f>
        <v/>
      </c>
      <c r="J15" s="26">
        <f>IFERROR(__xludf.DUMMYFUNCTION("((GOOGLEFINANCE(A15, ""price"") / INDEX(GOOGLEFINANCE(A15, ""close"", DATE(2026,2,20)), 2, 2)) - 1 )
"),0.06160714285714297)</f>
        <v/>
      </c>
      <c r="X15" s="56" t="n">
        <v>50</v>
      </c>
      <c r="Y15" s="56" t="n">
        <v>40</v>
      </c>
      <c r="Z15" s="56" t="n">
        <v>20</v>
      </c>
      <c r="AA15" s="56" t="n">
        <v>70</v>
      </c>
      <c r="AB15" s="56" t="n">
        <v>35</v>
      </c>
      <c r="AC15" s="57" t="inlineStr">
        <is>
          <t>AEHR has weak momentum and no clear thematic play. Social buzz is low and volatility is high, resulting in a higher risk profile.</t>
        </is>
      </c>
    </row>
    <row r="16">
      <c r="A16" s="23" t="inlineStr">
        <is>
          <t>UAMY</t>
        </is>
      </c>
      <c r="B16" s="23" t="inlineStr">
        <is>
          <t>Rare Earth</t>
        </is>
      </c>
      <c r="C16" s="4" t="inlineStr">
        <is>
          <t>https://x.com/USAC_Bull</t>
        </is>
      </c>
      <c r="D16" s="4" t="inlineStr">
        <is>
          <t>https://x.com/USAC_Bull/status/1977019993444565347</t>
        </is>
      </c>
      <c r="E16" s="39" t="n">
        <v>45941</v>
      </c>
      <c r="F16" s="4" t="inlineStr">
        <is>
          <t>https://x.com/USAC_Bull</t>
        </is>
      </c>
      <c r="G16" s="23" t="n"/>
      <c r="H16" s="26">
        <f>IFERROR(__xludf.DUMMYFUNCTION("((GOOGLEFINANCE(A16, ""price"") / INDEX(GOOGLEFINANCE(A16, ""close"", TODAY()-7), 2, 2)) - 1 )
"),-0.03958333333333319)</f>
        <v/>
      </c>
      <c r="I16" s="26">
        <f>IFERROR(__xludf.DUMMYFUNCTION("(GOOGLEFINANCE(A16, ""price"") / INDEX(GOOGLEFINANCE(A16, ""close"", DATE(YEAR(TODAY()), 1, 1), TODAY()), 2, 2)) - 1"),0.5548060708263072)</f>
        <v/>
      </c>
      <c r="J16" s="26">
        <f>IFERROR(__xludf.DUMMYFUNCTION("((GOOGLEFINANCE(A16, ""price"") / INDEX(GOOGLEFINANCE(A16, ""close"", DATE(2026,2,20)), 2, 2)) - 1 )
"),0.24763193504736147)</f>
        <v/>
      </c>
      <c r="X16" s="56" t="n">
        <v>65</v>
      </c>
      <c r="Y16" s="56" t="n">
        <v>55</v>
      </c>
      <c r="Z16" s="56" t="n">
        <v>60</v>
      </c>
      <c r="AA16" s="56" t="n">
        <v>60</v>
      </c>
      <c r="AB16" s="56" t="n">
        <v>45</v>
      </c>
      <c r="AC16" s="57" t="inlineStr">
        <is>
          <t>UAMY benefits from a relevant rare earth defense theme and moderate social buzz. Momentum is modest and risk is moderate due to sector volatility.</t>
        </is>
      </c>
    </row>
    <row r="17">
      <c r="A17" s="23" t="inlineStr">
        <is>
          <t>LASR</t>
        </is>
      </c>
      <c r="B17" s="23" t="inlineStr">
        <is>
          <t>Defense</t>
        </is>
      </c>
      <c r="C17" s="4" t="inlineStr">
        <is>
          <t>https://x.com/antarcticapital</t>
        </is>
      </c>
      <c r="D17" s="4" t="inlineStr">
        <is>
          <t>https://x.com/antarcticapital/status/1879172178832208117</t>
        </is>
      </c>
      <c r="E17" s="40" t="n">
        <v>45671</v>
      </c>
      <c r="F17" s="4" t="inlineStr">
        <is>
          <t>https://x.com/pennycheck</t>
        </is>
      </c>
      <c r="G17" s="23" t="n"/>
      <c r="H17" s="26">
        <f>IFERROR(__xludf.DUMMYFUNCTION("((GOOGLEFINANCE(A17, ""price"") / INDEX(GOOGLEFINANCE(A17, ""close"", TODAY()-7), 2, 2)) - 1 )
"),0.02622950819672143)</f>
        <v/>
      </c>
      <c r="I17" s="26">
        <f>IFERROR(__xludf.DUMMYFUNCTION("(GOOGLEFINANCE(A17, ""price"") / INDEX(GOOGLEFINANCE(A17, ""close"", DATE(YEAR(TODAY()), 1, 1), TODAY()), 2, 2)) - 1"),0.6314829293719053)</f>
        <v/>
      </c>
      <c r="J17" s="26">
        <f>IFERROR(__xludf.DUMMYFUNCTION("((GOOGLEFINANCE(A17, ""price"") / INDEX(GOOGLEFINANCE(A17, ""close"", DATE(2026,2,20)), 2, 2)) - 1 )
"),0.11765756114979475)</f>
        <v/>
      </c>
      <c r="X17" s="56" t="n">
        <v>80</v>
      </c>
      <c r="Y17" s="56" t="n">
        <v>85</v>
      </c>
      <c r="Z17" s="56" t="n">
        <v>75</v>
      </c>
      <c r="AA17" s="56" t="n">
        <v>50</v>
      </c>
      <c r="AB17" s="56" t="n">
        <v>70</v>
      </c>
      <c r="AC17" s="57" t="inlineStr">
        <is>
          <t>LASR shows strong YTD momentum with 63.15% gain and moderate weekly growth, reflecting solid price performance. Its defense theme is highly relevant in 2025, supported by notable KOLs, boosting social buzz. Moderate volatility keeps risk at a balanced level.</t>
        </is>
      </c>
    </row>
    <row r="18">
      <c r="A18" s="23" t="inlineStr">
        <is>
          <t>UMAC</t>
        </is>
      </c>
      <c r="B18" s="23" t="inlineStr">
        <is>
          <t>Drone</t>
        </is>
      </c>
      <c r="C18" s="4" t="inlineStr">
        <is>
          <t>https://x.com/thehustlebrosyt</t>
        </is>
      </c>
      <c r="D18" s="4" t="inlineStr">
        <is>
          <t>https://x.com/thehustlebrosyt/status/1961530309767282712</t>
        </is>
      </c>
      <c r="E18" s="40" t="n">
        <v>45899</v>
      </c>
      <c r="F18" s="4" t="inlineStr">
        <is>
          <t>https://x.com/fundmyfund</t>
        </is>
      </c>
      <c r="G18" s="4" t="inlineStr">
        <is>
          <t>https://x.com/fundmyfund/status/2012854663607898179?s=20</t>
        </is>
      </c>
      <c r="H18" s="26">
        <f>IFERROR(__xludf.DUMMYFUNCTION("((GOOGLEFINANCE(A18, ""price"") / INDEX(GOOGLEFINANCE(A18, ""close"", TODAY()-7), 2, 2)) - 1 )
"),0.18055555555555536)</f>
        <v/>
      </c>
      <c r="I18" s="26">
        <f>IFERROR(__xludf.DUMMYFUNCTION("(GOOGLEFINANCE(A18, ""price"") / INDEX(GOOGLEFINANCE(A18, ""close"", DATE(YEAR(TODAY()), 1, 1), TODAY()), 2, 2)) - 1"),0.5033161385408988)</f>
        <v/>
      </c>
      <c r="J18" s="26">
        <f>IFERROR(__xludf.DUMMYFUNCTION("((GOOGLEFINANCE(A18, ""price"") / INDEX(GOOGLEFINANCE(A18, ""close"", DATE(2026,2,20)), 2, 2)) - 1 )
"),0.5178571428571428)</f>
        <v/>
      </c>
      <c r="X18" s="56" t="n">
        <v>88</v>
      </c>
      <c r="Y18" s="56" t="n">
        <v>95</v>
      </c>
      <c r="Z18" s="56" t="n">
        <v>80</v>
      </c>
      <c r="AA18" s="56" t="n">
        <v>65</v>
      </c>
      <c r="AB18" s="56" t="n">
        <v>75</v>
      </c>
      <c r="AC18" s="57" t="inlineStr">
        <is>
          <t>UMAC exhibits exceptional momentum with 18.06% weekly and 50.33% YTD gains, driven by strong thematic relevance in drones within defense. The presence of active KOLs enhances social buzz. Higher volatility due to sharp price moves increases risk moderately.</t>
        </is>
      </c>
    </row>
    <row r="19">
      <c r="A19" s="23" t="inlineStr">
        <is>
          <t>OSS</t>
        </is>
      </c>
      <c r="B19" s="23" t="inlineStr">
        <is>
          <t>Defense</t>
        </is>
      </c>
      <c r="C19" s="5" t="inlineStr">
        <is>
          <t>https://x.com/crux_capital_</t>
        </is>
      </c>
      <c r="D19" s="5" t="inlineStr">
        <is>
          <t>https://x.com/i/status/1977731510980809135</t>
        </is>
      </c>
      <c r="E19" s="39" t="n">
        <v>45943</v>
      </c>
      <c r="F19" s="4" t="inlineStr">
        <is>
          <t>https://x.com/BlackPantherCap</t>
        </is>
      </c>
      <c r="G19" s="5" t="inlineStr">
        <is>
          <t>https://x.com/crux_capital_/status/2010900483146420558?s=20</t>
        </is>
      </c>
      <c r="H19" s="26">
        <f>IFERROR(__xludf.DUMMYFUNCTION("((GOOGLEFINANCE(A19, ""price"") / INDEX(GOOGLEFINANCE(A19, ""close"", TODAY()-7), 2, 2)) - 1 )
"),0.13258426966292136)</f>
        <v/>
      </c>
      <c r="I19" s="26">
        <f>IFERROR(__xludf.DUMMYFUNCTION("(GOOGLEFINANCE(A19, ""price"") / INDEX(GOOGLEFINANCE(A19, ""close"", DATE(YEAR(TODAY()), 1, 1), TODAY()), 2, 2)) - 1"),0.48235294117647065)</f>
        <v/>
      </c>
      <c r="J19" s="26">
        <f>IFERROR(__xludf.DUMMYFUNCTION("((GOOGLEFINANCE(A19, ""price"") / INDEX(GOOGLEFINANCE(A19, ""close"", DATE(2026,2,20)), 2, 2)) - 1 )
"),0.03703703703703698)</f>
        <v/>
      </c>
      <c r="X19" s="56" t="n">
        <v>82</v>
      </c>
      <c r="Y19" s="56" t="n">
        <v>80</v>
      </c>
      <c r="Z19" s="56" t="n">
        <v>70</v>
      </c>
      <c r="AA19" s="56" t="n">
        <v>55</v>
      </c>
      <c r="AB19" s="56" t="n">
        <v>70</v>
      </c>
      <c r="AC19" s="57" t="inlineStr">
        <is>
          <t>OSS maintains strong momentum with 13.26% weekly and 48.24% YTD gains in the defense sector. The theme is solid but less niche than drones, with good KOL support. Moderate volatility results in a balanced risk profile.</t>
        </is>
      </c>
    </row>
    <row r="20">
      <c r="A20" s="23" t="inlineStr">
        <is>
          <t>RIME</t>
        </is>
      </c>
      <c r="C20" s="4" t="inlineStr">
        <is>
          <t>https://x.com/noa__ii2</t>
        </is>
      </c>
      <c r="D20" s="5" t="inlineStr">
        <is>
          <t>https://x.com/noa__ii2/status/1998803898673529294</t>
        </is>
      </c>
      <c r="E20" s="39" t="n">
        <v>46002</v>
      </c>
      <c r="F20" s="4" t="inlineStr">
        <is>
          <t>https://x.com/noa__ii2</t>
        </is>
      </c>
      <c r="H20" s="26">
        <f>IFERROR(__xludf.DUMMYFUNCTION("((GOOGLEFINANCE(A20, ""price"") / INDEX(GOOGLEFINANCE(A20, ""close"", TODAY()-7), 2, 2)) - 1 )
"),0.0)</f>
        <v/>
      </c>
      <c r="I20" s="26">
        <f>IFERROR(__xludf.DUMMYFUNCTION("(GOOGLEFINANCE(A20, ""price"") / INDEX(GOOGLEFINANCE(A20, ""close"", DATE(YEAR(TODAY()), 1, 1), TODAY()), 2, 2)) - 1"),0.5384615384615385)</f>
        <v/>
      </c>
      <c r="J20" s="26">
        <f>IFERROR(__xludf.DUMMYFUNCTION("((GOOGLEFINANCE(A20, ""price"") / INDEX(GOOGLEFINANCE(A20, ""close"", DATE(2026,2,20)), 2, 2)) - 1 )
"),-0.2417061611374407)</f>
        <v/>
      </c>
      <c r="X20" s="56" t="n">
        <v>55</v>
      </c>
      <c r="Y20" s="56" t="n">
        <v>40</v>
      </c>
      <c r="Z20" s="56" t="n">
        <v>40</v>
      </c>
      <c r="AA20" s="56" t="n">
        <v>70</v>
      </c>
      <c r="AB20" s="56" t="n">
        <v>50</v>
      </c>
      <c r="AC20" s="57" t="inlineStr">
        <is>
          <t>RIME has flat weekly performance and a negative specific date return, indicating weak momentum despite decent YTD gains. The lack of a clear theme lowers thematic appeal. Moderate social buzz from a single KOL and higher volatility increase risk.</t>
        </is>
      </c>
    </row>
    <row r="21">
      <c r="A21" s="23" t="inlineStr">
        <is>
          <t>IPGP</t>
        </is>
      </c>
      <c r="C21" s="4" t="inlineStr">
        <is>
          <t>https://x.com/ascharya108</t>
        </is>
      </c>
      <c r="D21" s="5" t="inlineStr">
        <is>
          <t>https://x.com/ascharya108/status/1970510054848606470</t>
        </is>
      </c>
      <c r="E21" s="40" t="n">
        <v>45923</v>
      </c>
      <c r="F21" s="4" t="inlineStr">
        <is>
          <t>https://x.com/BlackScholesMan</t>
        </is>
      </c>
      <c r="H21" s="26">
        <f>IFERROR(__xludf.DUMMYFUNCTION("((GOOGLEFINANCE(A21, ""price"") / INDEX(GOOGLEFINANCE(A21, ""close"", TODAY()-7), 2, 2)) - 1 )
"),-0.08975305603412909)</f>
        <v/>
      </c>
      <c r="I21" s="26">
        <f>IFERROR(__xludf.DUMMYFUNCTION("(GOOGLEFINANCE(A21, ""price"") / INDEX(GOOGLEFINANCE(A21, ""close"", DATE(YEAR(TODAY()), 1, 1), TODAY()), 2, 2)) - 1"),0.48249599144842326)</f>
        <v/>
      </c>
      <c r="J21" s="26">
        <f>IFERROR(__xludf.DUMMYFUNCTION("((GOOGLEFINANCE(A21, ""price"") / INDEX(GOOGLEFINANCE(A21, ""close"", DATE(2026,2,20)), 2, 2)) - 1 )
"),-0.16966023050441548)</f>
        <v/>
      </c>
      <c r="X21" s="56" t="n">
        <v>60</v>
      </c>
      <c r="Y21" s="56" t="n">
        <v>45</v>
      </c>
      <c r="Z21" s="56" t="n">
        <v>40</v>
      </c>
      <c r="AA21" s="56" t="n">
        <v>65</v>
      </c>
      <c r="AB21" s="56" t="n">
        <v>60</v>
      </c>
      <c r="AC21" s="57" t="inlineStr">
        <is>
          <t>IPGP shows negative short-term momentum with a strong YTD but recent declines, reflecting volatility. The absence of a strong thematic focus limits theme score. Solid KOL presence supports moderate social buzz, while risk is elevated due to price swings.</t>
        </is>
      </c>
    </row>
    <row r="22">
      <c r="A22" s="23" t="inlineStr">
        <is>
          <t>SOLS</t>
        </is>
      </c>
      <c r="C22" s="4" t="inlineStr">
        <is>
          <t>https://x.com/MNTonX</t>
        </is>
      </c>
      <c r="D22" s="5" t="inlineStr">
        <is>
          <t>https://x.com/MNTonX/status/1978894285471645995</t>
        </is>
      </c>
      <c r="E22" s="23" t="inlineStr">
        <is>
          <t>2025/19/17</t>
        </is>
      </c>
      <c r="F22" s="4" t="inlineStr">
        <is>
          <t>https://x.com/tradergokux</t>
        </is>
      </c>
      <c r="G22" s="5" t="inlineStr">
        <is>
          <t>https://x.com/tradergokux/status/1988721943907123544</t>
        </is>
      </c>
      <c r="H22" s="26">
        <f>IFERROR(__xludf.DUMMYFUNCTION("((GOOGLEFINANCE(A22, ""price"") / INDEX(GOOGLEFINANCE(A22, ""close"", TODAY()-7), 2, 2)) - 1 )
"),-0.008799241911466193)</f>
        <v/>
      </c>
      <c r="I22" s="26">
        <f>IFERROR(__xludf.DUMMYFUNCTION("(GOOGLEFINANCE(A22, ""price"") / INDEX(GOOGLEFINANCE(A22, ""close"", DATE(YEAR(TODAY()), 1, 1), TODAY()), 2, 2)) - 1"),0.4857954545454546)</f>
        <v/>
      </c>
      <c r="J22" s="26">
        <f>IFERROR(__xludf.DUMMYFUNCTION("((GOOGLEFINANCE(A22, ""price"") / INDEX(GOOGLEFINANCE(A22, ""close"", DATE(2026,2,20)), 2, 2)) - 1 )
"),-0.08532167395377888)</f>
        <v/>
      </c>
      <c r="X22" s="56" t="n">
        <v>62</v>
      </c>
      <c r="Y22" s="56" t="n">
        <v>55</v>
      </c>
      <c r="Z22" s="56" t="n">
        <v>40</v>
      </c>
      <c r="AA22" s="56" t="n">
        <v>55</v>
      </c>
      <c r="AB22" s="56" t="n">
        <v>60</v>
      </c>
      <c r="AC22" s="57" t="inlineStr">
        <is>
          <t>SOLS has modest negative weekly momentum but decent YTD gains. The lack of a clear theme reduces thematic appeal. KOL support is moderate, and risk is balanced with moderate volatility.</t>
        </is>
      </c>
    </row>
    <row r="23">
      <c r="A23" s="23" t="inlineStr">
        <is>
          <t>IRDM</t>
        </is>
      </c>
      <c r="B23" s="23" t="inlineStr">
        <is>
          <t>Aerospace</t>
        </is>
      </c>
      <c r="C23" s="4" t="inlineStr">
        <is>
          <t>https://x.com/BlackScholesMan</t>
        </is>
      </c>
      <c r="D23" s="5" t="inlineStr">
        <is>
          <t>https://x.com/BlackScholesMan/status/1966111973269225858</t>
        </is>
      </c>
      <c r="E23" s="40" t="n">
        <v>45911</v>
      </c>
      <c r="F23" s="4" t="inlineStr">
        <is>
          <t>https://x.com/pennycheck</t>
        </is>
      </c>
      <c r="G23" s="5" t="inlineStr">
        <is>
          <t>https://x.com/pennycheck/status/2013640290339299701</t>
        </is>
      </c>
      <c r="H23" s="26">
        <f>IFERROR(__xludf.DUMMYFUNCTION("((GOOGLEFINANCE(A23, ""price"") / INDEX(GOOGLEFINANCE(A23, ""close"", TODAY()-7), 2, 2)) - 1 )
"),0.025577557755775526)</f>
        <v/>
      </c>
      <c r="I23" s="26">
        <f>IFERROR(__xludf.DUMMYFUNCTION("(GOOGLEFINANCE(A23, ""price"") / INDEX(GOOGLEFINANCE(A23, ""close"", DATE(YEAR(TODAY()), 1, 1), TODAY()), 2, 2)) - 1"),0.39977477477477463)</f>
        <v/>
      </c>
      <c r="J23" s="26">
        <f>IFERROR(__xludf.DUMMYFUNCTION("((GOOGLEFINANCE(A23, ""price"") / INDEX(GOOGLEFINANCE(A23, ""close"", DATE(2026,2,20)), 2, 2)) - 1 )
"),0.08464223385689351)</f>
        <v/>
      </c>
      <c r="X23" s="56" t="n">
        <v>75</v>
      </c>
      <c r="Y23" s="56" t="n">
        <v>70</v>
      </c>
      <c r="Z23" s="56" t="n">
        <v>65</v>
      </c>
      <c r="AA23" s="56" t="n">
        <v>50</v>
      </c>
      <c r="AB23" s="56" t="n">
        <v>70</v>
      </c>
      <c r="AC23" s="57" t="inlineStr">
        <is>
          <t>IRDM shows steady momentum with positive weekly and YTD returns in the defense DSCS niche, which is relevant but less hot than drones or AI. Strong KOL backing enhances social buzz. Risk remains moderate due to balanced volatility.</t>
        </is>
      </c>
    </row>
    <row r="24">
      <c r="A24" s="23" t="inlineStr">
        <is>
          <t>CRCL</t>
        </is>
      </c>
      <c r="B24" s="23" t="inlineStr">
        <is>
          <t>Stablecoin</t>
        </is>
      </c>
      <c r="C24" s="4" t="inlineStr">
        <is>
          <t>https://x.com/jonbma</t>
        </is>
      </c>
      <c r="D24" s="4" t="inlineStr">
        <is>
          <t>https://x.com/jonbma/status/1927869504006099006</t>
        </is>
      </c>
      <c r="E24" s="40" t="n">
        <v>45806</v>
      </c>
      <c r="F24" s="4" t="inlineStr">
        <is>
          <t>https://x.com/PhyrexNi</t>
        </is>
      </c>
      <c r="G24" s="23" t="n"/>
      <c r="H24" s="26">
        <f>IFERROR(__xludf.DUMMYFUNCTION("((GOOGLEFINANCE(A24, ""price"") / INDEX(GOOGLEFINANCE(A24, ""close"", TODAY()-7), 2, 2)) - 1 )
"),0.031652360515021405)</f>
        <v/>
      </c>
      <c r="I24" s="26">
        <f>IFERROR(__xludf.DUMMYFUNCTION("(GOOGLEFINANCE(A24, ""price"") / INDEX(GOOGLEFINANCE(A24, ""close"", DATE(YEAR(TODAY()), 1, 1), TODAY()), 2, 2)) - 1"),0.38229303941535875)</f>
        <v/>
      </c>
      <c r="J24" s="26">
        <f>IFERROR(__xludf.DUMMYFUNCTION("((GOOGLEFINANCE(A24, ""price"") / INDEX(GOOGLEFINANCE(A24, ""close"", DATE(2026,2,20)), 2, 2)) - 1 )
"),0.8308473500476037)</f>
        <v/>
      </c>
      <c r="X24" s="56" t="n">
        <v>78</v>
      </c>
      <c r="Y24" s="56" t="n">
        <v>75</v>
      </c>
      <c r="Z24" s="56" t="n">
        <v>70</v>
      </c>
      <c r="AA24" s="56" t="n">
        <v>60</v>
      </c>
      <c r="AB24" s="56" t="n">
        <v>75</v>
      </c>
      <c r="AC24" s="57" t="inlineStr">
        <is>
          <t>CRCL benefits from a strong thematic play in stablecoins within fintech &amp; crypto, with solid YTD and weekly gains plus a very strong specific date performance. Good KOL support boosts social buzz. Volatility is moderate, resulting in a medium risk score.</t>
        </is>
      </c>
    </row>
    <row r="25">
      <c r="A25" s="23" t="inlineStr">
        <is>
          <t>SKM</t>
        </is>
      </c>
      <c r="B25" s="23" t="inlineStr">
        <is>
          <t>Anthropic</t>
        </is>
      </c>
      <c r="C25" s="4" t="inlineStr">
        <is>
          <t>https://x.com/tamsa00700</t>
        </is>
      </c>
      <c r="D25" s="5" t="inlineStr">
        <is>
          <t>https://x.com/tamsa00700/status/1983715154044051927</t>
        </is>
      </c>
      <c r="E25" s="39" t="n">
        <v>45960</v>
      </c>
      <c r="F25" s="4" t="inlineStr">
        <is>
          <t>https://x.com/MapleLeafCap</t>
        </is>
      </c>
      <c r="G25" s="5" t="inlineStr">
        <is>
          <t>https://x.com/MapleLeafCap/status/2016175070721544421</t>
        </is>
      </c>
      <c r="H25" s="26">
        <f>IFERROR(__xludf.DUMMYFUNCTION("((GOOGLEFINANCE(A25, ""price"") / INDEX(GOOGLEFINANCE(A25, ""close"", TODAY()-7), 2, 2)) - 1 )
"),-0.054563826204109156)</f>
        <v/>
      </c>
      <c r="I25" s="26">
        <f>IFERROR(__xludf.DUMMYFUNCTION("(GOOGLEFINANCE(A25, ""price"") / INDEX(GOOGLEFINANCE(A25, ""close"", DATE(YEAR(TODAY()), 1, 1), TODAY()), 2, 2)) - 1"),0.36593673965936735)</f>
        <v/>
      </c>
      <c r="J25" s="26">
        <f>IFERROR(__xludf.DUMMYFUNCTION("((GOOGLEFINANCE(A25, ""price"") / INDEX(GOOGLEFINANCE(A25, ""close"", DATE(2026,2,20)), 2, 2)) - 1 )
"),-0.09945460378569138)</f>
        <v/>
      </c>
      <c r="X25" s="56" t="n">
        <v>58</v>
      </c>
      <c r="Y25" s="56" t="n">
        <v>45</v>
      </c>
      <c r="Z25" s="56" t="n">
        <v>50</v>
      </c>
      <c r="AA25" s="56" t="n">
        <v>60</v>
      </c>
      <c r="AB25" s="56" t="n">
        <v>65</v>
      </c>
      <c r="AC25" s="57" t="inlineStr">
        <is>
          <t>SKM has weak momentum with negative weekly and specific date returns but decent YTD growth. The Anthropic theme is relevant but niche, giving a moderate theme score. Good KOL presence supports social buzz, while risk is elevated due to recent price drops.</t>
        </is>
      </c>
    </row>
    <row r="26">
      <c r="A26" s="23" t="inlineStr">
        <is>
          <t>ASTI</t>
        </is>
      </c>
      <c r="B26" s="23" t="inlineStr">
        <is>
          <t>Aerospace</t>
        </is>
      </c>
      <c r="C26" s="4" t="inlineStr">
        <is>
          <t>https://x.com/Yeah_Dave</t>
        </is>
      </c>
      <c r="D26" s="4" t="inlineStr">
        <is>
          <t>https://x.com/YeahDrDave/status/2000320348517195830</t>
        </is>
      </c>
      <c r="E26" s="39" t="n">
        <v>46006</v>
      </c>
      <c r="F26" s="4" t="inlineStr">
        <is>
          <t>https://x.com/Reformed_Trader</t>
        </is>
      </c>
      <c r="G26" s="4" t="inlineStr">
        <is>
          <t>https://x.com/Reformed_Trader/status/1999161301524709583</t>
        </is>
      </c>
      <c r="H26" s="26">
        <f>IFERROR(__xludf.DUMMYFUNCTION("((GOOGLEFINANCE(A26, ""price"") / INDEX(GOOGLEFINANCE(A26, ""close"", TODAY()-7), 2, 2)) - 1 )
"),-0.17637271214642258)</f>
        <v/>
      </c>
      <c r="I26" s="26">
        <f>IFERROR(__xludf.DUMMYFUNCTION("(GOOGLEFINANCE(A26, ""price"") / INDEX(GOOGLEFINANCE(A26, ""close"", DATE(YEAR(TODAY()), 1, 1), TODAY()), 2, 2)) - 1"),0.21921182266009875)</f>
        <v/>
      </c>
      <c r="J26" s="26">
        <f>IFERROR(__xludf.DUMMYFUNCTION("((GOOGLEFINANCE(A26, ""price"") / INDEX(GOOGLEFINANCE(A26, ""close"", DATE(2026,2,20)), 2, 2)) - 1 )
"),-0.1406249999999999)</f>
        <v/>
      </c>
      <c r="X26" s="56" t="n">
        <v>50</v>
      </c>
      <c r="Y26" s="56" t="n">
        <v>30</v>
      </c>
      <c r="Z26" s="56" t="n">
        <v>65</v>
      </c>
      <c r="AA26" s="56" t="n">
        <v>70</v>
      </c>
      <c r="AB26" s="56" t="n">
        <v>60</v>
      </c>
      <c r="AC26" s="57" t="inlineStr">
        <is>
          <t>ASTI shows weak momentum with significant recent losses despite aerospace theme relevance. The theme is strong but momentum and risk weigh down the score. Moderate social buzz from KOLs is present but insufficient to offset negatives.</t>
        </is>
      </c>
    </row>
    <row r="27">
      <c r="A27" s="23" t="inlineStr">
        <is>
          <t>KLIC</t>
        </is>
      </c>
      <c r="C27" s="5" t="inlineStr">
        <is>
          <t>https://x.com/equityclimb1</t>
        </is>
      </c>
      <c r="D27" s="5" t="inlineStr">
        <is>
          <t>https://x.com/equityclimb1/status/1998526831163760678</t>
        </is>
      </c>
      <c r="E27" s="39" t="n">
        <v>46001</v>
      </c>
      <c r="F27" s="4" t="inlineStr">
        <is>
          <t>https://x.com/TheValueist</t>
        </is>
      </c>
      <c r="G27" s="5" t="inlineStr">
        <is>
          <t>https://x.com/TheValueist/status/2021990216278368345</t>
        </is>
      </c>
      <c r="H27" s="26">
        <f>IFERROR(__xludf.DUMMYFUNCTION("((GOOGLEFINANCE(A27, ""price"") / INDEX(GOOGLEFINANCE(A27, ""close"", TODAY()-7), 2, 2)) - 1 )
"),-0.01650114591291063)</f>
        <v/>
      </c>
      <c r="I27" s="26">
        <f>IFERROR(__xludf.DUMMYFUNCTION("(GOOGLEFINANCE(A27, ""price"") / INDEX(GOOGLEFINANCE(A27, ""close"", DATE(YEAR(TODAY()), 1, 1), TODAY()), 2, 2)) - 1"),0.3313340227507757)</f>
        <v/>
      </c>
      <c r="J27" s="26">
        <f>IFERROR(__xludf.DUMMYFUNCTION("((GOOGLEFINANCE(A27, ""price"") / INDEX(GOOGLEFINANCE(A27, ""close"", DATE(2026,2,20)), 2, 2)) - 1 )
"),-0.09146083274523631)</f>
        <v/>
      </c>
      <c r="X27" s="56" t="n">
        <v>60</v>
      </c>
      <c r="Y27" s="56" t="n">
        <v>50</v>
      </c>
      <c r="Z27" s="56" t="n">
        <v>40</v>
      </c>
      <c r="AA27" s="56" t="n">
        <v>55</v>
      </c>
      <c r="AB27" s="56" t="n">
        <v>60</v>
      </c>
      <c r="AC27" s="57" t="inlineStr">
        <is>
          <t>KLIC has moderate YTD gains but weak recent momentum and no clear thematic focus, limiting theme score. KOL support is moderate, and risk is balanced with moderate volatility.</t>
        </is>
      </c>
    </row>
    <row r="28">
      <c r="A28" s="23" t="inlineStr">
        <is>
          <t>HIMX</t>
        </is>
      </c>
      <c r="H28" s="26">
        <f>IFERROR(__xludf.DUMMYFUNCTION("((GOOGLEFINANCE(A28, ""price"") / INDEX(GOOGLEFINANCE(A28, ""close"", TODAY()-7), 2, 2)) - 1 )
"),0.27461139896373066)</f>
        <v/>
      </c>
      <c r="I28" s="26">
        <f>IFERROR(__xludf.DUMMYFUNCTION("(GOOGLEFINANCE(A28, ""price"") / INDEX(GOOGLEFINANCE(A28, ""close"", DATE(YEAR(TODAY()), 1, 1), TODAY()), 2, 2)) - 1"),0.15357561547479492)</f>
        <v/>
      </c>
      <c r="X28" s="56" t="n">
        <v>65</v>
      </c>
      <c r="Y28" s="56" t="n">
        <v>75</v>
      </c>
      <c r="Z28" s="56" t="n">
        <v>40</v>
      </c>
      <c r="AA28" s="56" t="n">
        <v>60</v>
      </c>
      <c r="AB28" s="56" t="n">
        <v>40</v>
      </c>
      <c r="AC28" s="57" t="inlineStr">
        <is>
          <t>HIMX shows strong recent momentum with a 27.46% weekly gain but modest YTD performance. Lack of a clear theme and absence of KOL backing reduce theme and social buzz scores. Moderate risk due to volatility.</t>
        </is>
      </c>
    </row>
    <row r="29">
      <c r="A29" s="23" t="inlineStr">
        <is>
          <t>Q</t>
        </is>
      </c>
      <c r="H29" s="26">
        <f>IFERROR(__xludf.DUMMYFUNCTION("((GOOGLEFINANCE(A29, ""price"") / INDEX(GOOGLEFINANCE(A29, ""close"", TODAY()-7), 2, 2)) - 1 )
"),-0.045514223194748404)</f>
        <v/>
      </c>
      <c r="I29" s="26">
        <f>IFERROR(__xludf.DUMMYFUNCTION("(GOOGLEFINANCE(A29, ""price"") / INDEX(GOOGLEFINANCE(A29, ""close"", DATE(YEAR(TODAY()), 1, 1), TODAY()), 2, 2)) - 1"),0.28324311602730035)</f>
        <v/>
      </c>
      <c r="J29" s="26">
        <f>IFERROR(__xludf.DUMMYFUNCTION("((GOOGLEFINANCE(A29, ""price"") / INDEX(GOOGLEFINANCE(A29, ""close"", DATE(2026,2,20)), 2, 2)) - 1 )
"),-0.03886832363828663)</f>
        <v/>
      </c>
      <c r="X29" s="56" t="n">
        <v>58</v>
      </c>
      <c r="Y29" s="56" t="n">
        <v>50</v>
      </c>
      <c r="Z29" s="56" t="n">
        <v>40</v>
      </c>
      <c r="AA29" s="56" t="n">
        <v>55</v>
      </c>
      <c r="AB29" s="56" t="n">
        <v>40</v>
      </c>
      <c r="AC29" s="57" t="inlineStr">
        <is>
          <t>Q has weak momentum with negative weekly and specific date returns but moderate YTD gains. No clear thematic play or KOL support lowers theme and social buzz scores. Risk is moderate with balanced volatility.</t>
        </is>
      </c>
    </row>
    <row r="30">
      <c r="A30" s="23" t="inlineStr">
        <is>
          <t>NBIS</t>
        </is>
      </c>
      <c r="B30" s="23" t="inlineStr">
        <is>
          <t>AI Hyperscaler</t>
        </is>
      </c>
      <c r="C30" s="4" t="inlineStr">
        <is>
          <t>https://x.com/danielnewmanUV</t>
        </is>
      </c>
      <c r="D30" s="4" t="inlineStr">
        <is>
          <t>https://x.com/danielnewmanUV/status/1965183673210409311</t>
        </is>
      </c>
      <c r="E30" s="40" t="n">
        <v>45908</v>
      </c>
      <c r="F30" s="4" t="inlineStr">
        <is>
          <t>https://x.com/danielnewmanUV</t>
        </is>
      </c>
      <c r="G30" s="4" t="inlineStr">
        <is>
          <t>https://x.com/daniel_koss/status/1988279910863905044</t>
        </is>
      </c>
      <c r="H30" s="26">
        <f>IFERROR(__xludf.DUMMYFUNCTION("((GOOGLEFINANCE(A30, ""price"") / INDEX(GOOGLEFINANCE(A30, ""close"", TODAY()-7), 2, 2)) - 1 )
"),0.18969875710975348)</f>
        <v/>
      </c>
      <c r="I30" s="26">
        <f>IFERROR(__xludf.DUMMYFUNCTION("(GOOGLEFINANCE(A30, ""price"") / INDEX(GOOGLEFINANCE(A30, ""close"", DATE(YEAR(TODAY()), 1, 1), TODAY()), 2, 2)) - 1"),0.2556976097832129)</f>
        <v/>
      </c>
      <c r="J30" s="26">
        <f>IFERROR(__xludf.DUMMYFUNCTION("((GOOGLEFINANCE(A30, ""price"") / INDEX(GOOGLEFINANCE(A30, ""close"", DATE(2026,2,20)), 2, 2)) - 1 )
"),0.1534926470588236)</f>
        <v/>
      </c>
      <c r="X30" s="56" t="n">
        <v>75</v>
      </c>
      <c r="Y30" s="56" t="n">
        <v>80</v>
      </c>
      <c r="Z30" s="56" t="n">
        <v>75</v>
      </c>
      <c r="AA30" s="56" t="n">
        <v>55</v>
      </c>
      <c r="AB30" s="56" t="n">
        <v>75</v>
      </c>
      <c r="AC30" s="57" t="inlineStr">
        <is>
          <t>NBIS benefits from strong momentum and a relevant AI hyperscaler theme, which is highly attractive in 2025. Good KOL support drives social buzz. Moderate risk due to balanced volatility.</t>
        </is>
      </c>
    </row>
    <row r="31">
      <c r="A31" s="23" t="inlineStr">
        <is>
          <t>NVTS</t>
        </is>
      </c>
      <c r="B31" s="23" t="n"/>
      <c r="C31" s="23" t="n"/>
      <c r="D31" s="23" t="n"/>
      <c r="E31" s="23" t="n"/>
      <c r="F31" s="23" t="n"/>
      <c r="G31" s="23" t="n"/>
      <c r="H31" s="26">
        <f>IFERROR(__xludf.DUMMYFUNCTION("((GOOGLEFINANCE(A31, ""price"") / INDEX(GOOGLEFINANCE(A31, ""close"", TODAY()-7), 2, 2)) - 1 )
"),0.20525059665871104)</f>
        <v/>
      </c>
      <c r="I31" s="26">
        <f>IFERROR(__xludf.DUMMYFUNCTION("(GOOGLEFINANCE(A31, ""price"") / INDEX(GOOGLEFINANCE(A31, ""close"", DATE(YEAR(TODAY()), 1, 1), TODAY()), 2, 2)) - 1"),0.20525059665871104)</f>
        <v/>
      </c>
      <c r="J31" s="26">
        <f>IFERROR(__xludf.DUMMYFUNCTION("((GOOGLEFINANCE(A31, ""price"") / INDEX(GOOGLEFINANCE(A31, ""close"", DATE(2026,2,20)), 2, 2)) - 1 )
"),0.281725888324873)</f>
        <v/>
      </c>
      <c r="X31" s="56" t="n">
        <v>70</v>
      </c>
      <c r="Y31" s="56" t="n">
        <v>80</v>
      </c>
      <c r="Z31" s="56" t="n">
        <v>40</v>
      </c>
      <c r="AA31" s="56" t="n">
        <v>55</v>
      </c>
      <c r="AB31" s="56" t="n">
        <v>40</v>
      </c>
      <c r="AC31" s="57" t="inlineStr">
        <is>
          <t>NVTS shows strong momentum with 20.53% weekly and YTD gains but lacks a clear thematic focus and KOL backing, limiting theme and social buzz scores. Risk is moderate due to volatility.</t>
        </is>
      </c>
    </row>
    <row r="32">
      <c r="A32" s="23" t="inlineStr">
        <is>
          <t>PPTA</t>
        </is>
      </c>
      <c r="C32" s="4" t="inlineStr">
        <is>
          <t>https://x.com/Junior_Stocks</t>
        </is>
      </c>
      <c r="D32" s="5" t="inlineStr">
        <is>
          <t>https://x.com/Junior_Stocks/status/1902793982431883698</t>
        </is>
      </c>
      <c r="E32" s="40" t="n">
        <v>45737</v>
      </c>
      <c r="F32" s="5" t="inlineStr">
        <is>
          <t>https://x.com/USAC_Bull</t>
        </is>
      </c>
      <c r="H32" s="26">
        <f>IFERROR(__xludf.DUMMYFUNCTION("((GOOGLEFINANCE(A32, ""price"") / INDEX(GOOGLEFINANCE(A32, ""close"", TODAY()-7), 2, 2)) - 1 )
"),-0.09295946357817741)</f>
        <v/>
      </c>
      <c r="I32" s="26">
        <f>IFERROR(__xludf.DUMMYFUNCTION("(GOOGLEFINANCE(A32, ""price"") / INDEX(GOOGLEFINANCE(A32, ""close"", DATE(YEAR(TODAY()), 1, 1), TODAY()), 2, 2)) - 1"),0.21271393643031788)</f>
        <v/>
      </c>
      <c r="J32" s="26">
        <f>IFERROR(__xludf.DUMMYFUNCTION("((GOOGLEFINANCE(A32, ""price"") / INDEX(GOOGLEFINANCE(A32, ""close"", DATE(2026,2,20)), 2, 2)) - 1 )
"),-0.013916500994035741)</f>
        <v/>
      </c>
      <c r="X32" s="56" t="n">
        <v>55</v>
      </c>
      <c r="Y32" s="56" t="n">
        <v>50</v>
      </c>
      <c r="Z32" s="56" t="n">
        <v>30</v>
      </c>
      <c r="AA32" s="56" t="n">
        <v>70</v>
      </c>
      <c r="AB32" s="56" t="n">
        <v>60</v>
      </c>
      <c r="AC32" s="57" t="inlineStr">
        <is>
          <t>PPTA shows moderate YTD performance but recent weekly decline impacts momentum negatively. Thematic relevance is unclear, lowering theme score. Moderate social buzz from known KOLs supports some interest, but volatility increases risk.</t>
        </is>
      </c>
    </row>
    <row r="33">
      <c r="A33" s="23" t="inlineStr">
        <is>
          <t>PL</t>
        </is>
      </c>
      <c r="B33" s="23" t="inlineStr">
        <is>
          <t>Aerospace</t>
        </is>
      </c>
      <c r="C33" s="4" t="inlineStr">
        <is>
          <t>https://x.com/bdinvestingg</t>
        </is>
      </c>
      <c r="D33" s="4" t="inlineStr">
        <is>
          <t>https://x.com/bdinvestingg/status/1892574906799534286</t>
        </is>
      </c>
      <c r="E33" s="39" t="n">
        <v>45708</v>
      </c>
      <c r="F33" s="4" t="inlineStr">
        <is>
          <t>https://x.com/AIStockSavvy</t>
        </is>
      </c>
      <c r="G33" s="4" t="inlineStr">
        <is>
          <t>https://x.com/Maizi_Alpha/status/2010725017592672674</t>
        </is>
      </c>
      <c r="H33" s="26">
        <f>IFERROR(__xludf.DUMMYFUNCTION("((GOOGLEFINANCE(A33, ""price"") / INDEX(GOOGLEFINANCE(A33, ""close"", TODAY()-7), 2, 2)) - 1 )
"),-0.03989155693261037)</f>
        <v/>
      </c>
      <c r="I33" s="26">
        <f>IFERROR(__xludf.DUMMYFUNCTION("(GOOGLEFINANCE(A33, ""price"") / INDEX(GOOGLEFINANCE(A33, ""close"", DATE(YEAR(TODAY()), 1, 1), TODAY()), 2, 2)) - 1"),0.21460068593826542)</f>
        <v/>
      </c>
      <c r="J33" s="26">
        <f>IFERROR(__xludf.DUMMYFUNCTION("((GOOGLEFINANCE(A33, ""price"") / INDEX(GOOGLEFINANCE(A33, ""close"", DATE(2026,2,20)), 2, 2)) - 1 )
"),0.037238493723849464)</f>
        <v/>
      </c>
      <c r="X33" s="56" t="n">
        <v>75</v>
      </c>
      <c r="Y33" s="56" t="n">
        <v>65</v>
      </c>
      <c r="Z33" s="56" t="n">
        <v>80</v>
      </c>
      <c r="AA33" s="56" t="n">
        <v>55</v>
      </c>
      <c r="AB33" s="56" t="n">
        <v>70</v>
      </c>
      <c r="AC33" s="57" t="inlineStr">
        <is>
          <t>PL benefits from strong aerospace theme aligned with market trends and solid YTD gains. Recent slight pullback reduces momentum slightly. Good social buzz from AI and investing KOLs enhances attractiveness with moderate risk.</t>
        </is>
      </c>
    </row>
    <row r="34">
      <c r="A34" s="23" t="inlineStr">
        <is>
          <t>STM</t>
        </is>
      </c>
      <c r="B34" s="23" t="inlineStr">
        <is>
          <t>Aerospace</t>
        </is>
      </c>
      <c r="C34" s="4" t="inlineStr">
        <is>
          <t>https://x.com/BrokenToysInv</t>
        </is>
      </c>
      <c r="D34" s="4" t="inlineStr">
        <is>
          <t>https://x.com/BrokenToysInv/status/2011048583013794012</t>
        </is>
      </c>
      <c r="E34" s="40" t="n">
        <v>46035</v>
      </c>
      <c r="G34" s="4" t="inlineStr">
        <is>
          <t>https://x.com/BrokenToysInv/status/2011048583013794012</t>
        </is>
      </c>
      <c r="H34" s="26">
        <f>IFERROR(__xludf.DUMMYFUNCTION("((GOOGLEFINANCE(A34, ""price"") / INDEX(GOOGLEFINANCE(A34, ""close"", TODAY()-7), 2, 2)) - 1 )
"),-0.019683865195347594)</f>
        <v/>
      </c>
      <c r="I34" s="26">
        <f>IFERROR(__xludf.DUMMYFUNCTION("(GOOGLEFINANCE(A34, ""price"") / INDEX(GOOGLEFINANCE(A34, ""close"", DATE(YEAR(TODAY()), 1, 1), TODAY()), 2, 2)) - 1"),0.20094994519546927)</f>
        <v/>
      </c>
      <c r="J34" s="26">
        <f>IFERROR(__xludf.DUMMYFUNCTION("((GOOGLEFINANCE(A34, ""price"") / INDEX(GOOGLEFINANCE(A34, ""close"", DATE(2026,2,20)), 2, 2)) - 1 )
"),-0.02230814991076735)</f>
        <v/>
      </c>
      <c r="X34" s="56" t="n">
        <v>70</v>
      </c>
      <c r="Y34" s="56" t="n">
        <v>60</v>
      </c>
      <c r="Z34" s="56" t="n">
        <v>75</v>
      </c>
      <c r="AA34" s="56" t="n">
        <v>50</v>
      </c>
      <c r="AB34" s="56" t="n">
        <v>50</v>
      </c>
      <c r="AC34" s="57" t="inlineStr">
        <is>
          <t>STM has solid aerospace thematic relevance and decent YTD performance. Recent mild decline affects momentum. Social buzz is moderate with some KOL presence. Risk is moderate due to steady performance.</t>
        </is>
      </c>
    </row>
    <row r="35">
      <c r="A35" s="23" t="inlineStr">
        <is>
          <t>VOXR</t>
        </is>
      </c>
      <c r="B35" s="23" t="inlineStr">
        <is>
          <t>Precious Metal</t>
        </is>
      </c>
      <c r="C35" s="4" t="inlineStr">
        <is>
          <t>https://x.com/P14Capital</t>
        </is>
      </c>
      <c r="E35" s="39" t="n">
        <v>46009</v>
      </c>
      <c r="H35" s="26">
        <f>IFERROR(__xludf.DUMMYFUNCTION("((GOOGLEFINANCE(A35, ""price"") / INDEX(GOOGLEFINANCE(A35, ""close"", TODAY()-7), 2, 2)) - 1 )
"),-0.07154742096505817)</f>
        <v/>
      </c>
      <c r="I35" s="26">
        <f>IFERROR(__xludf.DUMMYFUNCTION("(GOOGLEFINANCE(A35, ""price"") / INDEX(GOOGLEFINANCE(A35, ""close"", DATE(YEAR(TODAY()), 1, 1), TODAY()), 2, 2)) - 1"),0.1923076923076923)</f>
        <v/>
      </c>
      <c r="J35" s="26">
        <f>IFERROR(__xludf.DUMMYFUNCTION("((GOOGLEFINANCE(A35, ""price"") / INDEX(GOOGLEFINANCE(A35, ""close"", DATE(2026,2,20)), 2, 2)) - 1 )
"),0.00540540540540535)</f>
        <v/>
      </c>
      <c r="X35" s="56" t="n">
        <v>50</v>
      </c>
      <c r="Y35" s="56" t="n">
        <v>45</v>
      </c>
      <c r="Z35" s="56" t="n">
        <v>40</v>
      </c>
      <c r="AA35" s="56" t="n">
        <v>65</v>
      </c>
      <c r="AB35" s="56" t="n">
        <v>40</v>
      </c>
      <c r="AC35" s="57" t="inlineStr">
        <is>
          <t>VOXR's precious metal theme is less trendy in 2025-2026, limiting theme score. YTD performance is decent but recent weekly losses reduce momentum. Limited social buzz and moderate volatility contribute to risk.</t>
        </is>
      </c>
    </row>
    <row r="36">
      <c r="A36" s="23" t="inlineStr">
        <is>
          <t>UUUU</t>
        </is>
      </c>
      <c r="B36" s="23" t="inlineStr">
        <is>
          <t>Nuclear</t>
        </is>
      </c>
      <c r="C36" s="4" t="inlineStr">
        <is>
          <t>https://x.com/CorleoneDon77</t>
        </is>
      </c>
      <c r="D36" s="5" t="inlineStr">
        <is>
          <t>https://x.com/CorleoneDon77/status/1866616257140728040</t>
        </is>
      </c>
      <c r="E36" s="39" t="n">
        <v>45637</v>
      </c>
      <c r="F36" s="5" t="inlineStr">
        <is>
          <t>https://x.com/CorleoneDon77</t>
        </is>
      </c>
      <c r="G36" s="23" t="n"/>
      <c r="H36" s="26">
        <f>IFERROR(__xludf.DUMMYFUNCTION("((GOOGLEFINANCE(A36, ""price"") / INDEX(GOOGLEFINANCE(A36, ""close"", TODAY()-7), 2, 2)) - 1 )
"),-0.06039255158530443)</f>
        <v/>
      </c>
      <c r="I36" s="26">
        <f>IFERROR(__xludf.DUMMYFUNCTION("(GOOGLEFINANCE(A36, ""price"") / INDEX(GOOGLEFINANCE(A36, ""close"", DATE(YEAR(TODAY()), 1, 1), TODAY()), 2, 2)) - 1"),0.11930455635491621)</f>
        <v/>
      </c>
      <c r="J36" s="26">
        <f>IFERROR(__xludf.DUMMYFUNCTION("((GOOGLEFINANCE(A36, ""price"") / INDEX(GOOGLEFINANCE(A36, ""close"", DATE(2026,2,20)), 2, 2)) - 1 )
"),-0.1255269320843091)</f>
        <v/>
      </c>
      <c r="X36" s="56" t="n">
        <v>45</v>
      </c>
      <c r="Y36" s="56" t="n">
        <v>35</v>
      </c>
      <c r="Z36" s="56" t="n">
        <v>60</v>
      </c>
      <c r="AA36" s="56" t="n">
        <v>80</v>
      </c>
      <c r="AB36" s="56" t="n">
        <v>65</v>
      </c>
      <c r="AC36" s="57" t="inlineStr">
        <is>
          <t>UUUU's nuclear theme is relevant but YTD and recent performance are weak, dragging momentum down. High volatility and sharp recent losses increase risk. Strong KOL backing supports social buzz.</t>
        </is>
      </c>
    </row>
    <row r="37">
      <c r="A37" s="23" t="inlineStr">
        <is>
          <t>AREC</t>
        </is>
      </c>
      <c r="B37" s="23" t="inlineStr">
        <is>
          <t>Rare Earth</t>
        </is>
      </c>
      <c r="C37" s="4" t="inlineStr">
        <is>
          <t>https://x.com/probzunknown</t>
        </is>
      </c>
      <c r="D37" s="5" t="inlineStr">
        <is>
          <t>https://x.com/probzunknown/status/1977759348211233204</t>
        </is>
      </c>
      <c r="E37" s="39" t="n">
        <v>45943</v>
      </c>
      <c r="F37" s="5" t="inlineStr">
        <is>
          <t>https://x.com/probzunknown</t>
        </is>
      </c>
      <c r="G37" s="23" t="n"/>
      <c r="H37" s="26">
        <f>IFERROR(__xludf.DUMMYFUNCTION("((GOOGLEFINANCE(A37, ""price"") / INDEX(GOOGLEFINANCE(A37, ""close"", TODAY()-7), 2, 2)) - 1 )
"),-0.05182926829268286)</f>
        <v/>
      </c>
      <c r="I37" s="26">
        <f>IFERROR(__xludf.DUMMYFUNCTION("(GOOGLEFINANCE(A37, ""price"") / INDEX(GOOGLEFINANCE(A37, ""close"", DATE(YEAR(TODAY()), 1, 1), TODAY()), 2, 2)) - 1"),0.1433823529411764)</f>
        <v/>
      </c>
      <c r="J37" s="26">
        <f>IFERROR(__xludf.DUMMYFUNCTION("((GOOGLEFINANCE(A37, ""price"") / INDEX(GOOGLEFINANCE(A37, ""close"", DATE(2026,2,20)), 2, 2)) - 1 )
"),0.0298013245033113)</f>
        <v/>
      </c>
      <c r="X37" s="56" t="n">
        <v>60</v>
      </c>
      <c r="Y37" s="56" t="n">
        <v>55</v>
      </c>
      <c r="Z37" s="56" t="n">
        <v>65</v>
      </c>
      <c r="AA37" s="56" t="n">
        <v>60</v>
      </c>
      <c r="AB37" s="56" t="n">
        <v>55</v>
      </c>
      <c r="AC37" s="57" t="inlineStr">
        <is>
          <t>AREC's rare earth theme is moderately relevant with decent YTD gains. Recent weekly decline impacts momentum slightly. Moderate social buzz from a single KOL and average risk due to volatility.</t>
        </is>
      </c>
    </row>
    <row r="38">
      <c r="A38" s="23" t="inlineStr">
        <is>
          <t>CPSH</t>
        </is>
      </c>
      <c r="B38" s="23" t="inlineStr">
        <is>
          <t>Material</t>
        </is>
      </c>
      <c r="C38" s="4" t="inlineStr">
        <is>
          <t>https://x.com/StockRocket1</t>
        </is>
      </c>
      <c r="D38" s="5" t="inlineStr">
        <is>
          <t>https://x.com/StockRocket1/status/1930289136713224365</t>
        </is>
      </c>
      <c r="E38" s="40" t="n">
        <v>45812</v>
      </c>
      <c r="F38" s="4" t="inlineStr">
        <is>
          <t>https://x.com/StockRocket1</t>
        </is>
      </c>
      <c r="H38" s="26">
        <f>IFERROR(__xludf.DUMMYFUNCTION("((GOOGLEFINANCE(A38, ""price"") / INDEX(GOOGLEFINANCE(A38, ""close"", TODAY()-7), 2, 2)) - 1 )
"),-0.010471204188481686)</f>
        <v/>
      </c>
      <c r="I38" s="26">
        <f>IFERROR(__xludf.DUMMYFUNCTION("(GOOGLEFINANCE(A38, ""price"") / INDEX(GOOGLEFINANCE(A38, ""close"", DATE(YEAR(TODAY()), 1, 1), TODAY()), 2, 2)) - 1"),0.1812499999999999)</f>
        <v/>
      </c>
      <c r="J38" s="26">
        <f>IFERROR(__xludf.DUMMYFUNCTION("((GOOGLEFINANCE(A38, ""price"") / INDEX(GOOGLEFINANCE(A38, ""close"", DATE(2026,2,20)), 2, 2)) - 1 )
"),-0.16556291390728484)</f>
        <v/>
      </c>
      <c r="X38" s="56" t="n">
        <v>50</v>
      </c>
      <c r="Y38" s="56" t="n">
        <v>40</v>
      </c>
      <c r="Z38" s="56" t="n">
        <v>40</v>
      </c>
      <c r="AA38" s="56" t="n">
        <v>75</v>
      </c>
      <c r="AB38" s="56" t="n">
        <v>60</v>
      </c>
      <c r="AC38" s="57" t="inlineStr">
        <is>
          <t>CPSH shows moderate YTD gains but sharp recent daily decline hurts momentum. Material theme is less hot currently. Strong KOL presence boosts social buzz but high volatility raises risk.</t>
        </is>
      </c>
    </row>
    <row r="39">
      <c r="A39" s="23" t="inlineStr">
        <is>
          <t>LFMD</t>
        </is>
      </c>
      <c r="B39" s="23" t="inlineStr">
        <is>
          <t>GLP-1</t>
        </is>
      </c>
      <c r="C39" s="4" t="inlineStr">
        <is>
          <t>https://x.com/blondesnmoney</t>
        </is>
      </c>
      <c r="D39" s="4" t="inlineStr">
        <is>
          <t>https://x.com/blondesnmoney/status/1886486969489711365</t>
        </is>
      </c>
      <c r="E39" s="40" t="n">
        <v>45691</v>
      </c>
      <c r="F39" s="23" t="n"/>
      <c r="G39" s="4" t="inlineStr">
        <is>
          <t>https://x.com/WilliamSirett/status/2010017061792006393</t>
        </is>
      </c>
      <c r="H39" s="26">
        <f>IFERROR(__xludf.DUMMYFUNCTION("((GOOGLEFINANCE(A39, ""price"") / INDEX(GOOGLEFINANCE(A39, ""close"", TODAY()-7), 2, 2)) - 1 )
"),0.27564102564102555)</f>
        <v/>
      </c>
      <c r="I39" s="26">
        <f>IFERROR(__xludf.DUMMYFUNCTION("(GOOGLEFINANCE(A39, ""price"") / INDEX(GOOGLEFINANCE(A39, ""close"", DATE(YEAR(TODAY()), 1, 1), TODAY()), 2, 2)) - 1"),0.1404011461318051)</f>
        <v/>
      </c>
      <c r="J39" s="26">
        <f>IFERROR(__xludf.DUMMYFUNCTION("((GOOGLEFINANCE(A39, ""price"") / INDEX(GOOGLEFINANCE(A39, ""close"", DATE(2026,2,20)), 2, 2)) - 1 )
"),0.4113475177304966)</f>
        <v/>
      </c>
      <c r="X39" s="56" t="n">
        <v>80</v>
      </c>
      <c r="Y39" s="56" t="n">
        <v>90</v>
      </c>
      <c r="Z39" s="56" t="n">
        <v>75</v>
      </c>
      <c r="AA39" s="56" t="n">
        <v>65</v>
      </c>
      <c r="AB39" s="56" t="n">
        <v>70</v>
      </c>
      <c r="AC39" s="57" t="inlineStr">
        <is>
          <t>LFMD exhibits exceptional recent momentum with strong weekly and daily gains. GLP-1 theme remains highly relevant in biotech. Good social buzz from KOLs supports interest, though volatility raises risk moderately.</t>
        </is>
      </c>
    </row>
    <row r="40">
      <c r="A40" s="23" t="inlineStr">
        <is>
          <t>CRML</t>
        </is>
      </c>
      <c r="B40" s="23" t="inlineStr">
        <is>
          <t>Greenland</t>
        </is>
      </c>
      <c r="C40" s="5" t="inlineStr">
        <is>
          <t>https://x.com/invest4_life</t>
        </is>
      </c>
      <c r="D40" s="5" t="inlineStr">
        <is>
          <t>https://x.com/invest4_life/status/1892570755616965017</t>
        </is>
      </c>
      <c r="E40" s="40" t="n">
        <v>45708</v>
      </c>
      <c r="F40" s="5" t="inlineStr">
        <is>
          <t>https://x.com/Speculator_io</t>
        </is>
      </c>
      <c r="H40" s="26">
        <f>IFERROR(__xludf.DUMMYFUNCTION("((GOOGLEFINANCE(A40, ""price"") / INDEX(GOOGLEFINANCE(A40, ""close"", TODAY()-7), 2, 2)) - 1 )
"),0.012304250559284302)</f>
        <v/>
      </c>
      <c r="I40" s="26">
        <f>IFERROR(__xludf.DUMMYFUNCTION("(GOOGLEFINANCE(A40, ""price"") / INDEX(GOOGLEFINANCE(A40, ""close"", DATE(YEAR(TODAY()), 1, 1), TODAY()), 2, 2)) - 1"),0.11453201970443372)</f>
        <v/>
      </c>
      <c r="J40" s="26">
        <f>IFERROR(__xludf.DUMMYFUNCTION("((GOOGLEFINANCE(A40, ""price"") / INDEX(GOOGLEFINANCE(A40, ""close"", DATE(2026,2,20)), 2, 2)) - 1 )
"),-0.001103752759381904)</f>
        <v/>
      </c>
      <c r="X40" s="56" t="n">
        <v>55</v>
      </c>
      <c r="Y40" s="56" t="n">
        <v>55</v>
      </c>
      <c r="Z40" s="56" t="n">
        <v>50</v>
      </c>
      <c r="AA40" s="56" t="n">
        <v>50</v>
      </c>
      <c r="AB40" s="56" t="n">
        <v>55</v>
      </c>
      <c r="AC40" s="57" t="inlineStr">
        <is>
          <t>CRML's defense and Greenland theme is niche but relevant. Modest YTD and weekly performance yield moderate momentum. Social buzz is moderate with KOL backing. Risk is average due to steady performance.</t>
        </is>
      </c>
    </row>
    <row r="41">
      <c r="A41" s="23" t="inlineStr">
        <is>
          <t>NEE</t>
        </is>
      </c>
      <c r="B41" s="23" t="inlineStr">
        <is>
          <t>AI Energy</t>
        </is>
      </c>
      <c r="H41" s="26">
        <f>IFERROR(__xludf.DUMMYFUNCTION("((GOOGLEFINANCE(A41, ""price"") / INDEX(GOOGLEFINANCE(A41, ""close"", TODAY()-7), 2, 2)) - 1 )
"),0.008368655580915041)</f>
        <v/>
      </c>
      <c r="I41" s="26">
        <f>IFERROR(__xludf.DUMMYFUNCTION("(GOOGLEFINANCE(A41, ""price"") / INDEX(GOOGLEFINANCE(A41, ""close"", DATE(YEAR(TODAY()), 1, 1), TODAY()), 2, 2)) - 1"),0.14642283454837512)</f>
        <v/>
      </c>
      <c r="J41" s="26">
        <f>IFERROR(__xludf.DUMMYFUNCTION("((GOOGLEFINANCE(A41, ""price"") / INDEX(GOOGLEFINANCE(A41, ""close"", DATE(2026,2,20)), 2, 2)) - 1 )
"),0.006509004122369211)</f>
        <v/>
      </c>
      <c r="X41" s="56" t="n">
        <v>60</v>
      </c>
      <c r="Y41" s="56" t="n">
        <v>60</v>
      </c>
      <c r="Z41" s="56" t="n">
        <v>70</v>
      </c>
      <c r="AA41" s="56" t="n">
        <v>45</v>
      </c>
      <c r="AB41" s="56" t="n">
        <v>40</v>
      </c>
      <c r="AC41" s="57" t="inlineStr">
        <is>
          <t>NEE's AI Energy theme is relevant and YTD performance is decent. Momentum is stable with slight gains. Lack of KOL presence limits social buzz. Lower volatility results in lower risk.</t>
        </is>
      </c>
    </row>
    <row r="42">
      <c r="A42" s="14" t="inlineStr">
        <is>
          <t>KTOS</t>
        </is>
      </c>
      <c r="B42" s="14" t="inlineStr">
        <is>
          <t>Defense</t>
        </is>
      </c>
      <c r="C42" s="10" t="inlineStr">
        <is>
          <t>https://x.com/JaguarAnalytics</t>
        </is>
      </c>
      <c r="D42" s="10" t="inlineStr">
        <is>
          <t>https://x.com/JaguarAnalytics/status/1975896496487932008</t>
        </is>
      </c>
      <c r="E42" s="11" t="n">
        <v>45938</v>
      </c>
      <c r="F42" s="10" t="inlineStr">
        <is>
          <t>https://x.com/JSpitTrades</t>
        </is>
      </c>
      <c r="G42" s="10" t="inlineStr">
        <is>
          <t>https://x.com/AIStockSavvy/status/2010693419560014330</t>
        </is>
      </c>
      <c r="H42" s="13">
        <f>IFERROR(__xludf.DUMMYFUNCTION("((GOOGLEFINANCE(A42, ""price"") / INDEX(GOOGLEFINANCE(A42, ""close"", TODAY()-7), 2, 2)) - 1 )
"),-0.05342273169676648)</f>
        <v/>
      </c>
      <c r="I42" s="13">
        <f>IFERROR(__xludf.DUMMYFUNCTION("(GOOGLEFINANCE(A42, ""price"") / INDEX(GOOGLEFINANCE(A42, ""close"", DATE(YEAR(TODAY()), 1, 1), TODAY()), 2, 2)) - 1"),0.1039223105057383)</f>
        <v/>
      </c>
      <c r="J42" s="26">
        <f>IFERROR(__xludf.DUMMYFUNCTION("((GOOGLEFINANCE(A42, ""price"") / INDEX(GOOGLEFINANCE(A42, ""close"", DATE(2026,2,20)), 2, 2)) - 1 )
"),-0.0889883430474604)</f>
        <v/>
      </c>
      <c r="K42" s="14" t="n"/>
      <c r="L42" s="14" t="n"/>
      <c r="M42" s="14" t="n"/>
      <c r="N42" s="14" t="n"/>
      <c r="O42" s="14" t="n"/>
      <c r="P42" s="14" t="n"/>
      <c r="Q42" s="14" t="n"/>
      <c r="R42" s="14" t="n"/>
      <c r="S42" s="14" t="n"/>
      <c r="T42" s="14" t="n"/>
      <c r="U42" s="14" t="n"/>
      <c r="V42" s="14" t="n"/>
      <c r="W42" s="14" t="n"/>
      <c r="X42" s="56" t="n">
        <v>50</v>
      </c>
      <c r="Y42" s="56" t="n">
        <v>40</v>
      </c>
      <c r="Z42" s="56" t="n">
        <v>60</v>
      </c>
      <c r="AA42" s="56" t="n">
        <v>70</v>
      </c>
      <c r="AB42" s="56" t="n">
        <v>60</v>
      </c>
      <c r="AC42" s="57" t="inlineStr">
        <is>
          <t>KTOS has a relevant defense theme but weak recent and YTD performance lowers momentum. Strong KOL backing supports social buzz. Elevated volatility increases risk.</t>
        </is>
      </c>
    </row>
    <row r="43">
      <c r="A43" s="23" t="inlineStr">
        <is>
          <t>COHU</t>
        </is>
      </c>
      <c r="H43" s="26">
        <f>IFERROR(__xludf.DUMMYFUNCTION("((GOOGLEFINANCE(A43, ""price"") / INDEX(GOOGLEFINANCE(A43, ""close"", TODAY()-7), 2, 2)) - 1 )
"),-0.0267857142857143)</f>
        <v/>
      </c>
      <c r="I43" s="26">
        <f>IFERROR(__xludf.DUMMYFUNCTION("(GOOGLEFINANCE(A43, ""price"") / INDEX(GOOGLEFINANCE(A43, ""close"", DATE(YEAR(TODAY()), 1, 1), TODAY()), 2, 2)) - 1"),0.1072734660707031)</f>
        <v/>
      </c>
      <c r="J43" s="26">
        <f>IFERROR(__xludf.DUMMYFUNCTION("((GOOGLEFINANCE(A43, ""price"") / INDEX(GOOGLEFINANCE(A43, ""close"", DATE(2026,2,20)), 2, 2)) - 1 )
"),-0.13656527249683137)</f>
        <v/>
      </c>
      <c r="X43" s="56" t="n">
        <v>45</v>
      </c>
      <c r="Y43" s="56" t="n">
        <v>40</v>
      </c>
      <c r="Z43" s="56" t="n">
        <v>30</v>
      </c>
      <c r="AA43" s="56" t="n">
        <v>70</v>
      </c>
      <c r="AB43" s="56" t="n">
        <v>30</v>
      </c>
      <c r="AC43" s="57" t="inlineStr">
        <is>
          <t>COHU lacks clear thematic relevance and shows weak recent and YTD performance. Limited social buzz and high volatility contribute to higher risk and lower overall attractiveness.</t>
        </is>
      </c>
    </row>
    <row r="44">
      <c r="A44" s="23" t="inlineStr">
        <is>
          <t>AIRO</t>
        </is>
      </c>
      <c r="B44" s="23" t="inlineStr">
        <is>
          <t>Drone</t>
        </is>
      </c>
      <c r="C44" s="4" t="inlineStr">
        <is>
          <t>https://x.com/MitchMartan98</t>
        </is>
      </c>
      <c r="D44" s="4" t="inlineStr">
        <is>
          <t>https://x.com/MitchMartan98/status/2009270400400683379</t>
        </is>
      </c>
      <c r="E44" s="40" t="n">
        <v>46030</v>
      </c>
      <c r="F44" s="4" t="inlineStr">
        <is>
          <t>https://x.com/MitchMartan98</t>
        </is>
      </c>
      <c r="G44" s="4" t="inlineStr">
        <is>
          <t>https://x.com/MitchMartan98/status/2009270400400683379</t>
        </is>
      </c>
      <c r="H44" s="26">
        <f>IFERROR(__xludf.DUMMYFUNCTION("((GOOGLEFINANCE(A44, ""price"") / INDEX(GOOGLEFINANCE(A44, ""close"", TODAY()-7), 2, 2)) - 1 )
"),-0.07203791469194332)</f>
        <v/>
      </c>
      <c r="I44" s="26">
        <f>IFERROR(__xludf.DUMMYFUNCTION("(GOOGLEFINANCE(A44, ""price"") / INDEX(GOOGLEFINANCE(A44, ""close"", DATE(YEAR(TODAY()), 1, 1), TODAY()), 2, 2)) - 1"),0.05952380952380931)</f>
        <v/>
      </c>
      <c r="J44" s="26">
        <f>IFERROR(__xludf.DUMMYFUNCTION("((GOOGLEFINANCE(A44, ""price"") / INDEX(GOOGLEFINANCE(A44, ""close"", DATE(2026,2,20)), 2, 2)) - 1 )
"),0.05155746509129955)</f>
        <v/>
      </c>
      <c r="X44" s="56" t="n">
        <v>50</v>
      </c>
      <c r="Y44" s="56" t="n">
        <v>40</v>
      </c>
      <c r="Z44" s="56" t="n">
        <v>65</v>
      </c>
      <c r="AA44" s="56" t="n">
        <v>75</v>
      </c>
      <c r="AB44" s="56" t="n">
        <v>60</v>
      </c>
      <c r="AC44" s="57" t="inlineStr">
        <is>
          <t>AIRO's drone defense theme is relevant but weak YTD and recent performance hurt momentum. Strong KOL presence supports social buzz. High volatility increases risk significantly.</t>
        </is>
      </c>
    </row>
    <row r="45">
      <c r="A45" s="23" t="inlineStr">
        <is>
          <t>ASTS</t>
        </is>
      </c>
      <c r="B45" s="23" t="inlineStr">
        <is>
          <t>Aerospace</t>
        </is>
      </c>
      <c r="C45" s="4" t="inlineStr">
        <is>
          <t>https://x.com/KevinLMak</t>
        </is>
      </c>
      <c r="D45" s="4" t="inlineStr">
        <is>
          <t>https://x.com/KevinLMak/status/1796744049497403870</t>
        </is>
      </c>
      <c r="E45" s="40" t="n">
        <v>45444</v>
      </c>
      <c r="F45" s="4" t="inlineStr">
        <is>
          <t>https://x.com/ASTS_SpaceMob</t>
        </is>
      </c>
      <c r="G45" s="4" t="inlineStr">
        <is>
          <t>https://x.com/meeijer/status/1924935439846162818</t>
        </is>
      </c>
      <c r="H45" s="26">
        <f>IFERROR(__xludf.DUMMYFUNCTION("((GOOGLEFINANCE(A45, ""price"") / INDEX(GOOGLEFINANCE(A45, ""close"", TODAY()-7), 2, 2)) - 1 )
"),-0.03810160427807485)</f>
        <v/>
      </c>
      <c r="I45" s="26">
        <f>IFERROR(__xludf.DUMMYFUNCTION("(GOOGLEFINANCE(A45, ""price"") / INDEX(GOOGLEFINANCE(A45, ""close"", DATE(YEAR(TODAY()), 1, 1), TODAY()), 2, 2)) - 1"),0.03438361087815989)</f>
        <v/>
      </c>
      <c r="J45" s="26">
        <f>IFERROR(__xludf.DUMMYFUNCTION("((GOOGLEFINANCE(A45, ""price"") / INDEX(GOOGLEFINANCE(A45, ""close"", DATE(2026,2,20)), 2, 2)) - 1 )
"),0.07655860349127175)</f>
        <v/>
      </c>
      <c r="X45" s="56" t="n">
        <v>55</v>
      </c>
      <c r="Y45" s="56" t="n">
        <v>50</v>
      </c>
      <c r="Z45" s="56" t="n">
        <v>70</v>
      </c>
      <c r="AA45" s="56" t="n">
        <v>55</v>
      </c>
      <c r="AB45" s="56" t="n">
        <v>65</v>
      </c>
      <c r="AC45" s="57" t="inlineStr">
        <is>
          <t>ASTS has a solid aerospace theme with moderate YTD gains and recent positive daily performance. Good KOL backing enhances social buzz. Moderate risk due to some volatility.</t>
        </is>
      </c>
    </row>
    <row r="46">
      <c r="A46" s="23" t="inlineStr">
        <is>
          <t>RDW</t>
        </is>
      </c>
      <c r="B46" s="23" t="inlineStr">
        <is>
          <t>Aerospace</t>
        </is>
      </c>
      <c r="C46" s="4" t="inlineStr">
        <is>
          <t>https://x.com/SpaceInvestor_D</t>
        </is>
      </c>
      <c r="D46" s="4" t="inlineStr">
        <is>
          <t>https://x.com/SpaceInvestor_D/status/1881780169985409520</t>
        </is>
      </c>
      <c r="E46" s="40" t="n">
        <v>45678</v>
      </c>
      <c r="F46" s="4" t="inlineStr">
        <is>
          <t>https://x.com/SpaceInvestor_D</t>
        </is>
      </c>
      <c r="G46" s="4" t="inlineStr">
        <is>
          <t>https://x.com/Maizi_Alpha/status/2010715449315782787</t>
        </is>
      </c>
      <c r="H46" s="26">
        <f>IFERROR(__xludf.DUMMYFUNCTION("((GOOGLEFINANCE(A46, ""price"") / INDEX(GOOGLEFINANCE(A46, ""close"", TODAY()-7), 2, 2)) - 1 )
"),-0.006217616580310947)</f>
        <v/>
      </c>
      <c r="I46" s="26">
        <f>IFERROR(__xludf.DUMMYFUNCTION("(GOOGLEFINANCE(A46, ""price"") / INDEX(GOOGLEFINANCE(A46, ""close"", DATE(YEAR(TODAY()), 1, 1), TODAY()), 2, 2)) - 1"),0.0620155038759691)</f>
        <v/>
      </c>
      <c r="J46" s="26">
        <f>IFERROR(__xludf.DUMMYFUNCTION("((GOOGLEFINANCE(A46, ""price"") / INDEX(GOOGLEFINANCE(A46, ""close"", DATE(2026,2,20)), 2, 2)) - 1 )
"),0.20025031289111395)</f>
        <v/>
      </c>
      <c r="X46" s="56" t="n">
        <v>60</v>
      </c>
      <c r="Y46" s="56" t="n">
        <v>65</v>
      </c>
      <c r="Z46" s="56" t="n">
        <v>70</v>
      </c>
      <c r="AA46" s="56" t="n">
        <v>50</v>
      </c>
      <c r="AB46" s="56" t="n">
        <v>65</v>
      </c>
      <c r="AC46" s="57" t="inlineStr">
        <is>
          <t>RDW shows decent momentum with strong recent daily gains and moderate YTD performance. Aerospace theme is relevant and supported by active KOLs. Risk remains moderate due to steady performance.</t>
        </is>
      </c>
    </row>
    <row r="47">
      <c r="A47" s="23" t="inlineStr">
        <is>
          <t>MP</t>
        </is>
      </c>
      <c r="H47" s="26">
        <f>IFERROR(__xludf.DUMMYFUNCTION("((GOOGLEFINANCE(A47, ""price"") / INDEX(GOOGLEFINANCE(A47, ""close"", TODAY()-7), 2, 2)) - 1 )
"),-0.05124378109452732)</f>
        <v/>
      </c>
      <c r="I47" s="26">
        <f>IFERROR(__xludf.DUMMYFUNCTION("(GOOGLEFINANCE(A47, ""price"") / INDEX(GOOGLEFINANCE(A47, ""close"", DATE(YEAR(TODAY()), 1, 1), TODAY()), 2, 2)) - 1"),0.04074949972712383)</f>
        <v/>
      </c>
      <c r="J47" s="26">
        <f>IFERROR(__xludf.DUMMYFUNCTION("((GOOGLEFINANCE(A47, ""price"") / INDEX(GOOGLEFINANCE(A47, ""close"", DATE(2026,2,20)), 2, 2)) - 1 )
"),0.03379110950487885)</f>
        <v/>
      </c>
      <c r="X47" s="56" t="n">
        <v>45</v>
      </c>
      <c r="Y47" s="56" t="n">
        <v>40</v>
      </c>
      <c r="Z47" s="56" t="n">
        <v>20</v>
      </c>
      <c r="AA47" s="56" t="n">
        <v>55</v>
      </c>
      <c r="AB47" s="56" t="n">
        <v>10</v>
      </c>
      <c r="AC47" s="57" t="inlineStr">
        <is>
          <t>MP shows weak recent momentum with a slight positive YTD but negative weekly performance. Lack of a clear theme and no notable social media presence lowers its attractiveness. Moderate risk due to volatility and lack of thematic strength.</t>
        </is>
      </c>
    </row>
    <row r="48">
      <c r="A48" s="23" t="inlineStr">
        <is>
          <t>VPG</t>
        </is>
      </c>
      <c r="B48" s="23" t="inlineStr">
        <is>
          <t>Robotics</t>
        </is>
      </c>
      <c r="C48" s="4" t="inlineStr">
        <is>
          <t>https://x.com/EricTheUmpire</t>
        </is>
      </c>
      <c r="D48" s="5" t="inlineStr">
        <is>
          <t>https://x.com/EricTheUmpire/status/1907459216505266666</t>
        </is>
      </c>
      <c r="E48" s="40" t="n">
        <v>45749</v>
      </c>
      <c r="F48" s="5" t="inlineStr">
        <is>
          <t>https://x.com/ThematicTrader</t>
        </is>
      </c>
      <c r="G48" s="23" t="n"/>
      <c r="H48" s="26">
        <f>IFERROR(__xludf.DUMMYFUNCTION("((GOOGLEFINANCE(A48, ""price"") / INDEX(GOOGLEFINANCE(A48, ""close"", TODAY()-7), 2, 2)) - 1 )
"),-0.058756024787698036)</f>
        <v/>
      </c>
      <c r="I48" s="26">
        <f>IFERROR(__xludf.DUMMYFUNCTION("(GOOGLEFINANCE(A48, ""price"") / INDEX(GOOGLEFINANCE(A48, ""close"", DATE(YEAR(TODAY()), 1, 1), TODAY()), 2, 2)) - 1"),0.04404276985743372)</f>
        <v/>
      </c>
      <c r="J48" s="26">
        <f>IFERROR(__xludf.DUMMYFUNCTION("((GOOGLEFINANCE(A48, ""price"") / INDEX(GOOGLEFINANCE(A48, ""close"", DATE(2026,2,20)), 2, 2)) - 1 )
"),-0.14294670846394986)</f>
        <v/>
      </c>
      <c r="X48" s="56" t="n">
        <v>60</v>
      </c>
      <c r="Y48" s="56" t="n">
        <v>35</v>
      </c>
      <c r="Z48" s="56" t="n">
        <v>75</v>
      </c>
      <c r="AA48" s="56" t="n">
        <v>70</v>
      </c>
      <c r="AB48" s="56" t="n">
        <v>70</v>
      </c>
      <c r="AC48" s="57" t="inlineStr">
        <is>
          <t>VPG operates in the Robotics theme, which is relevant and growing, supported by notable KOLs boosting social buzz. However, recent negative momentum and high volatility increase risk, slightly dampening the overall score.</t>
        </is>
      </c>
    </row>
    <row r="49">
      <c r="A49" s="23" t="inlineStr">
        <is>
          <t>MRCY</t>
        </is>
      </c>
      <c r="B49" s="23" t="inlineStr">
        <is>
          <t>Defense</t>
        </is>
      </c>
      <c r="C49" s="4" t="inlineStr">
        <is>
          <t>https://x.com/mikeaxolotl</t>
        </is>
      </c>
      <c r="D49" s="4" t="inlineStr">
        <is>
          <t>https://x.com/mikeaxolotl/status/2010427169969999886</t>
        </is>
      </c>
      <c r="E49" s="40" t="n">
        <v>46033</v>
      </c>
      <c r="F49" s="4" t="inlineStr">
        <is>
          <t>https://x.com/BULLOFBRITAIN</t>
        </is>
      </c>
      <c r="G49" s="4" t="inlineStr">
        <is>
          <t>https://x.com/mikeaxolotl/status/2010427169969999886</t>
        </is>
      </c>
      <c r="H49" s="26">
        <f>IFERROR(__xludf.DUMMYFUNCTION("((GOOGLEFINANCE(A49, ""price"") / INDEX(GOOGLEFINANCE(A49, ""close"", TODAY()-7), 2, 2)) - 1 )
"),-0.1253357206803939)</f>
        <v/>
      </c>
      <c r="I49" s="26">
        <f>IFERROR(__xludf.DUMMYFUNCTION("(GOOGLEFINANCE(A49, ""price"") / INDEX(GOOGLEFINANCE(A49, ""close"", DATE(YEAR(TODAY()), 1, 1), TODAY()), 2, 2)) - 1"),0.028015257135341143)</f>
        <v/>
      </c>
      <c r="J49" s="26">
        <f>IFERROR(__xludf.DUMMYFUNCTION("((GOOGLEFINANCE(A49, ""price"") / INDEX(GOOGLEFINANCE(A49, ""close"", DATE(2026,2,20)), 2, 2)) - 1 )
"),-0.10806801323747572)</f>
        <v/>
      </c>
      <c r="X49" s="56" t="n">
        <v>50</v>
      </c>
      <c r="Y49" s="56" t="n">
        <v>25</v>
      </c>
      <c r="Z49" s="56" t="n">
        <v>70</v>
      </c>
      <c r="AA49" s="56" t="n">
        <v>75</v>
      </c>
      <c r="AB49" s="56" t="n">
        <v>65</v>
      </c>
      <c r="AC49" s="57" t="inlineStr">
        <is>
          <t>MRCY is in the Defense sector, a strong thematic area, with good social media backing. However, it suffers from poor recent momentum and high volatility, leading to a higher risk score and moderate overall attractiveness.</t>
        </is>
      </c>
    </row>
    <row r="50">
      <c r="A50" s="23" t="inlineStr">
        <is>
          <t>LEXX</t>
        </is>
      </c>
      <c r="C50" s="5" t="inlineStr">
        <is>
          <t>https://x.com/wa7ermelon</t>
        </is>
      </c>
      <c r="F50" s="5" t="inlineStr">
        <is>
          <t>https://x.com/BarnyardBull72</t>
        </is>
      </c>
      <c r="H50" s="26">
        <f>IFERROR(__xludf.DUMMYFUNCTION("((GOOGLEFINANCE(A50, ""price"") / INDEX(GOOGLEFINANCE(A50, ""close"", TODAY()-7), 2, 2)) - 1 )
"),-0.04109589041095896)</f>
        <v/>
      </c>
      <c r="I50" s="26">
        <f>IFERROR(__xludf.DUMMYFUNCTION("(GOOGLEFINANCE(A50, ""price"") / INDEX(GOOGLEFINANCE(A50, ""close"", DATE(YEAR(TODAY()), 1, 1), TODAY()), 2, 2)) - 1"),0.07692307692307687)</f>
        <v/>
      </c>
      <c r="J50" s="26">
        <f>IFERROR(__xludf.DUMMYFUNCTION("((GOOGLEFINANCE(A50, ""price"") / INDEX(GOOGLEFINANCE(A50, ""close"", DATE(2026,2,20)), 2, 2)) - 1 )
"),0.07692307692307687)</f>
        <v/>
      </c>
      <c r="X50" s="56" t="n">
        <v>50</v>
      </c>
      <c r="Y50" s="56" t="n">
        <v>50</v>
      </c>
      <c r="Z50" s="56" t="n">
        <v>25</v>
      </c>
      <c r="AA50" s="56" t="n">
        <v>50</v>
      </c>
      <c r="AB50" s="56" t="n">
        <v>60</v>
      </c>
      <c r="AC50" s="57" t="inlineStr">
        <is>
          <t>LEXX shows decent momentum with positive YTD and weekly performance and has some social media presence. Lack of a clear theme limits its thematic score, and moderate volatility keeps risk average.</t>
        </is>
      </c>
    </row>
    <row r="51">
      <c r="A51" s="23" t="inlineStr">
        <is>
          <t>ACMR</t>
        </is>
      </c>
      <c r="B51" s="23" t="inlineStr">
        <is>
          <t>AI Chip</t>
        </is>
      </c>
      <c r="C51" s="4" t="inlineStr">
        <is>
          <t>https://x.com/TheTechInvest</t>
        </is>
      </c>
      <c r="D51" s="4" t="inlineStr">
        <is>
          <t>https://x.com/TheTechInvest/status/1887511440598176069</t>
        </is>
      </c>
      <c r="E51" s="40" t="n">
        <v>45694</v>
      </c>
      <c r="F51" s="4" t="inlineStr">
        <is>
          <t>https://x.com/TheBenSchmark</t>
        </is>
      </c>
      <c r="G51" s="4" t="inlineStr">
        <is>
          <t>https://x.com/Venu_7_/status/2009664160381219149</t>
        </is>
      </c>
      <c r="H51" s="26">
        <f>IFERROR(__xludf.DUMMYFUNCTION("((GOOGLEFINANCE(A51, ""price"") / INDEX(GOOGLEFINANCE(A51, ""close"", TODAY()-7), 2, 2)) - 1 )
"),-0.0066395373741700014)</f>
        <v/>
      </c>
      <c r="I51" s="26">
        <f>IFERROR(__xludf.DUMMYFUNCTION("(GOOGLEFINANCE(A51, ""price"") / INDEX(GOOGLEFINANCE(A51, ""close"", DATE(YEAR(TODAY()), 1, 1), TODAY()), 2, 2)) - 1"),0.03342245989304815)</f>
        <v/>
      </c>
      <c r="J51" s="26">
        <f>IFERROR(__xludf.DUMMYFUNCTION("((GOOGLEFINANCE(A51, ""price"") / INDEX(GOOGLEFINANCE(A51, ""close"", DATE(2026,2,20)), 2, 2)) - 1 )
"),-0.3034990238774591)</f>
        <v/>
      </c>
      <c r="X51" s="56" t="n">
        <v>55</v>
      </c>
      <c r="Y51" s="56" t="n">
        <v>30</v>
      </c>
      <c r="Z51" s="56" t="n">
        <v>80</v>
      </c>
      <c r="AA51" s="56" t="n">
        <v>80</v>
      </c>
      <c r="AB51" s="56" t="n">
        <v>70</v>
      </c>
      <c r="AC51" s="57" t="inlineStr">
        <is>
          <t>ACMR benefits from a strong AI Chip theme and good social buzz but has poor recent momentum and high volatility, reflected in a high risk score. The overall score balances strong thematic appeal with momentum and risk concerns.</t>
        </is>
      </c>
    </row>
    <row r="52">
      <c r="A52" s="23" t="inlineStr">
        <is>
          <t>LTRX</t>
        </is>
      </c>
      <c r="H52" s="26">
        <f>IFERROR(__xludf.DUMMYFUNCTION("((GOOGLEFINANCE(A52, ""price"") / INDEX(GOOGLEFINANCE(A52, ""close"", TODAY()-7), 2, 2)) - 1 )
"),0.011200000000000099)</f>
        <v/>
      </c>
      <c r="I52" s="26">
        <f>IFERROR(__xludf.DUMMYFUNCTION("(GOOGLEFINANCE(A52, ""price"") / INDEX(GOOGLEFINANCE(A52, ""close"", DATE(YEAR(TODAY()), 1, 1), TODAY()), 2, 2)) - 1"),0.027642276422764178)</f>
        <v/>
      </c>
      <c r="X52" s="56" t="n">
        <v>40</v>
      </c>
      <c r="Y52" s="56" t="n">
        <v>45</v>
      </c>
      <c r="Z52" s="56" t="n">
        <v>15</v>
      </c>
      <c r="AA52" s="56" t="n">
        <v>40</v>
      </c>
      <c r="AB52" s="56" t="n">
        <v>10</v>
      </c>
      <c r="AC52" s="57" t="inlineStr">
        <is>
          <t>LTRX has mild positive momentum but lacks a clear theme and social media presence, resulting in low thematic and social buzz scores. Lower volatility reduces risk but overall attractiveness remains limited.</t>
        </is>
      </c>
    </row>
    <row r="53">
      <c r="A53" s="23" t="inlineStr">
        <is>
          <t>OPRA</t>
        </is>
      </c>
      <c r="B53" s="23" t="inlineStr">
        <is>
          <t>AI Distribution</t>
        </is>
      </c>
      <c r="C53" s="4" t="inlineStr">
        <is>
          <t>https://x.com/Pray4Equity</t>
        </is>
      </c>
      <c r="D53" s="4" t="inlineStr">
        <is>
          <t>https://x.com/Pray4Equity/status/1897472925814387114</t>
        </is>
      </c>
      <c r="E53" s="40" t="n">
        <v>45722</v>
      </c>
      <c r="F53" s="4" t="inlineStr">
        <is>
          <t>https://x.com/MrStockLockPro1</t>
        </is>
      </c>
      <c r="G53" s="23" t="n"/>
      <c r="H53" s="26">
        <f>IFERROR(__xludf.DUMMYFUNCTION("((GOOGLEFINANCE(A53, ""price"") / INDEX(GOOGLEFINANCE(A53, ""close"", TODAY()-7), 2, 2)) - 1 )
"),-0.039814200398141986)</f>
        <v/>
      </c>
      <c r="I53" s="26">
        <f>IFERROR(__xludf.DUMMYFUNCTION("(GOOGLEFINANCE(A53, ""price"") / INDEX(GOOGLEFINANCE(A53, ""close"", DATE(YEAR(TODAY()), 1, 1), TODAY()), 2, 2)) - 1"),0.016865776528460996)</f>
        <v/>
      </c>
      <c r="J53" s="26">
        <f>IFERROR(__xludf.DUMMYFUNCTION("((GOOGLEFINANCE(A53, ""price"") / INDEX(GOOGLEFINANCE(A53, ""close"", DATE(2026,2,20)), 2, 2)) - 1 )
"),0.17737998372660724)</f>
        <v/>
      </c>
      <c r="X53" s="56" t="n">
        <v>55</v>
      </c>
      <c r="Y53" s="56" t="n">
        <v>40</v>
      </c>
      <c r="Z53" s="56" t="n">
        <v>70</v>
      </c>
      <c r="AA53" s="56" t="n">
        <v>60</v>
      </c>
      <c r="AB53" s="56" t="n">
        <v>65</v>
      </c>
      <c r="AC53" s="57" t="inlineStr">
        <is>
          <t>OPRA's AI Distribution theme is relevant and supported by active KOLs, contributing to solid social buzz. Momentum is modest with mixed recent performance, and risk is moderate due to some volatility.</t>
        </is>
      </c>
    </row>
    <row r="54">
      <c r="A54" s="23" t="inlineStr">
        <is>
          <t>FLY</t>
        </is>
      </c>
      <c r="B54" s="23" t="inlineStr">
        <is>
          <t>Aerospace</t>
        </is>
      </c>
      <c r="C54" s="4" t="inlineStr">
        <is>
          <t>https://x.com/MMatters22596</t>
        </is>
      </c>
      <c r="D54" s="4" t="inlineStr">
        <is>
          <t>https://x.com/MMatters22596/status/2009384025006461294</t>
        </is>
      </c>
      <c r="E54" s="40" t="n">
        <v>46030</v>
      </c>
      <c r="F54" s="4" t="inlineStr">
        <is>
          <t>https://x.com/thesheetztweetz</t>
        </is>
      </c>
      <c r="G54" s="4" t="inlineStr">
        <is>
          <t>https://x.com/MMatters22596/status/2009384025006461294</t>
        </is>
      </c>
      <c r="H54" s="26">
        <f>IFERROR(__xludf.DUMMYFUNCTION("((GOOGLEFINANCE(A54, ""price"") / INDEX(GOOGLEFINANCE(A54, ""close"", TODAY()-7), 2, 2)) - 1 )
"),0.1310843373493975)</f>
        <v/>
      </c>
      <c r="I54" s="26">
        <f>IFERROR(__xludf.DUMMYFUNCTION("(GOOGLEFINANCE(A54, ""price"") / INDEX(GOOGLEFINANCE(A54, ""close"", DATE(YEAR(TODAY()), 1, 1), TODAY()), 2, 2)) - 1"),-0.01220538720538733)</f>
        <v/>
      </c>
      <c r="J54" s="26">
        <f>IFERROR(__xludf.DUMMYFUNCTION("((GOOGLEFINANCE(A54, ""price"") / INDEX(GOOGLEFINANCE(A54, ""close"", DATE(2026,2,20)), 2, 2)) - 1 )
"),0.17467467467467457)</f>
        <v/>
      </c>
      <c r="X54" s="56" t="n">
        <v>60</v>
      </c>
      <c r="Y54" s="56" t="n">
        <v>75</v>
      </c>
      <c r="Z54" s="56" t="n">
        <v>70</v>
      </c>
      <c r="AA54" s="56" t="n">
        <v>65</v>
      </c>
      <c r="AB54" s="56" t="n">
        <v>70</v>
      </c>
      <c r="AC54" s="57" t="inlineStr">
        <is>
          <t>FLY has strong recent momentum with positive weekly and specific date gains in the Aerospace theme, which remains relevant. Good social media backing supports the social buzz score, though moderate risk is present due to volatility.</t>
        </is>
      </c>
    </row>
    <row r="55">
      <c r="A55" s="23" t="inlineStr">
        <is>
          <t>POET</t>
        </is>
      </c>
      <c r="B55" s="23" t="inlineStr">
        <is>
          <t>Photonics</t>
        </is>
      </c>
      <c r="C55" s="4" t="inlineStr">
        <is>
          <t>https://x.com/PennyboisTrades</t>
        </is>
      </c>
      <c r="D55" s="4" t="inlineStr">
        <is>
          <t>https://x.com/PennyboisTrades/status/1889066814258192846</t>
        </is>
      </c>
      <c r="E55" s="39" t="n">
        <v>45699</v>
      </c>
      <c r="F55" s="4" t="inlineStr">
        <is>
          <t>https://x.com/crux_capital_</t>
        </is>
      </c>
      <c r="G55" s="4" t="inlineStr">
        <is>
          <t>https://x.com/crux_capital_/status/1996368091840913688</t>
        </is>
      </c>
      <c r="H55" s="26">
        <f>IFERROR(__xludf.DUMMYFUNCTION("((GOOGLEFINANCE(A55, ""price"") / INDEX(GOOGLEFINANCE(A55, ""close"", TODAY()-7), 2, 2)) - 1 )
"),0.020926756352765308)</f>
        <v/>
      </c>
      <c r="I55" s="26">
        <f>IFERROR(__xludf.DUMMYFUNCTION("(GOOGLEFINANCE(A55, ""price"") / INDEX(GOOGLEFINANCE(A55, ""close"", DATE(YEAR(TODAY()), 1, 1), TODAY()), 2, 2)) - 1"),-0.0460893854748603)</f>
        <v/>
      </c>
      <c r="J55" s="26">
        <f>IFERROR(__xludf.DUMMYFUNCTION("((GOOGLEFINANCE(A55, ""price"") / INDEX(GOOGLEFINANCE(A55, ""close"", DATE(2026,2,20)), 2, 2)) - 1 )
"),0.20035149384885753)</f>
        <v/>
      </c>
      <c r="X55" s="56" t="n">
        <v>50</v>
      </c>
      <c r="Y55" s="56" t="n">
        <v>50</v>
      </c>
      <c r="Z55" s="56" t="n">
        <v>60</v>
      </c>
      <c r="AA55" s="56" t="n">
        <v>55</v>
      </c>
      <c r="AB55" s="56" t="n">
        <v>60</v>
      </c>
      <c r="AC55" s="57" t="inlineStr">
        <is>
          <t>POET's Photonics theme is moderately relevant with decent momentum on specific dates despite negative YTD. Social buzz is supported by KOLs, and risk is moderate due to some volatility.</t>
        </is>
      </c>
    </row>
    <row r="56">
      <c r="A56" s="23" t="inlineStr">
        <is>
          <t>TE</t>
        </is>
      </c>
      <c r="B56" s="23" t="inlineStr">
        <is>
          <t>Solar</t>
        </is>
      </c>
      <c r="C56" s="4" t="inlineStr">
        <is>
          <t>https://x.com/Chartradamus/status</t>
        </is>
      </c>
      <c r="D56" s="4" t="inlineStr">
        <is>
          <t>https://x.com/Chartradamus/status/1981805224940761514</t>
        </is>
      </c>
      <c r="E56" s="40" t="n">
        <v>45955</v>
      </c>
      <c r="F56" s="4" t="inlineStr">
        <is>
          <t>https://x.com/SJCapitalInvest</t>
        </is>
      </c>
      <c r="G56" s="4" t="inlineStr">
        <is>
          <t>https://x.com/accounting_ds/status/1992592631067484190</t>
        </is>
      </c>
      <c r="H56" s="26">
        <f>IFERROR(__xludf.DUMMYFUNCTION("((GOOGLEFINANCE(A56, ""price"") / INDEX(GOOGLEFINANCE(A56, ""close"", TODAY()-7), 2, 2)) - 1 )
"),0.06424581005586583)</f>
        <v/>
      </c>
      <c r="I56" s="26">
        <f>IFERROR(__xludf.DUMMYFUNCTION("(GOOGLEFINANCE(A56, ""price"") / INDEX(GOOGLEFINANCE(A56, ""close"", DATE(YEAR(TODAY()), 1, 1), TODAY()), 2, 2)) - 1"),-0.028061224489795866)</f>
        <v/>
      </c>
      <c r="J56" s="26">
        <f>IFERROR(__xludf.DUMMYFUNCTION("((GOOGLEFINANCE(A56, ""price"") / INDEX(GOOGLEFINANCE(A56, ""close"", DATE(2026,2,20)), 2, 2)) - 1 )
"),0.22705314009661848)</f>
        <v/>
      </c>
      <c r="X56" s="56" t="n">
        <v>55</v>
      </c>
      <c r="Y56" s="56" t="n">
        <v>65</v>
      </c>
      <c r="Z56" s="56" t="n">
        <v>65</v>
      </c>
      <c r="AA56" s="56" t="n">
        <v>55</v>
      </c>
      <c r="AB56" s="56" t="n">
        <v>65</v>
      </c>
      <c r="AC56" s="57" t="inlineStr">
        <is>
          <t>TE benefits from a strong Solar theme and good momentum on recent dates. Social buzz is solid with notable KOLs, and risk remains moderate due to manageable volatility.</t>
        </is>
      </c>
    </row>
    <row r="57">
      <c r="A57" s="23" t="inlineStr">
        <is>
          <t>VOYG</t>
        </is>
      </c>
      <c r="B57" s="23" t="inlineStr">
        <is>
          <t>Aerospace</t>
        </is>
      </c>
      <c r="C57" s="4" t="inlineStr">
        <is>
          <t>https://x.com/SigmaFemale1818</t>
        </is>
      </c>
      <c r="D57" s="4" t="inlineStr">
        <is>
          <t>https://x.com/SigmaFemale1818/status/1932832140791607766</t>
        </is>
      </c>
      <c r="E57" s="40" t="n">
        <v>45819</v>
      </c>
      <c r="F57" s="4" t="inlineStr">
        <is>
          <t>https://x.com/SigmaFemale1818</t>
        </is>
      </c>
      <c r="G57" s="4" t="inlineStr">
        <is>
          <t>https://x.com/SigmaFemale1818/status/2009971198088610267</t>
        </is>
      </c>
      <c r="H57" s="26">
        <f>IFERROR(__xludf.DUMMYFUNCTION("((GOOGLEFINANCE(A57, ""price"") / INDEX(GOOGLEFINANCE(A57, ""close"", TODAY()-7), 2, 2)) - 1 )
"),0.014264264264264304)</f>
        <v/>
      </c>
      <c r="I57" s="26">
        <f>IFERROR(__xludf.DUMMYFUNCTION("(GOOGLEFINANCE(A57, ""price"") / INDEX(GOOGLEFINANCE(A57, ""close"", DATE(YEAR(TODAY()), 1, 1), TODAY()), 2, 2)) - 1"),-0.02735781137509008)</f>
        <v/>
      </c>
      <c r="J57" s="26">
        <f>IFERROR(__xludf.DUMMYFUNCTION("((GOOGLEFINANCE(A57, ""price"") / INDEX(GOOGLEFINANCE(A57, ""close"", DATE(2026,2,20)), 2, 2)) - 1 )
"),-0.014228383801532352)</f>
        <v/>
      </c>
      <c r="X57" s="56" t="n">
        <v>45</v>
      </c>
      <c r="Y57" s="56" t="n">
        <v>40</v>
      </c>
      <c r="Z57" s="56" t="n">
        <v>60</v>
      </c>
      <c r="AA57" s="56" t="n">
        <v>50</v>
      </c>
      <c r="AB57" s="56" t="n">
        <v>60</v>
      </c>
      <c r="AC57" s="57" t="inlineStr">
        <is>
          <t>VOYG operates in Aerospace with moderate thematic relevance and social buzz. Momentum is weak with negative YTD and mixed recent performance, and risk is moderate.</t>
        </is>
      </c>
    </row>
    <row r="58">
      <c r="A58" s="23" t="inlineStr">
        <is>
          <t>JOYY</t>
        </is>
      </c>
      <c r="B58" s="23" t="inlineStr">
        <is>
          <t>AI Distribution</t>
        </is>
      </c>
      <c r="C58" s="4" t="inlineStr">
        <is>
          <t>https://x.com/P14Capital</t>
        </is>
      </c>
      <c r="E58" s="39" t="n">
        <v>46009</v>
      </c>
      <c r="H58" s="26">
        <f>IFERROR(__xludf.DUMMYFUNCTION("((GOOGLEFINANCE(A58, ""price"") / INDEX(GOOGLEFINANCE(A58, ""close"", TODAY()-7), 2, 2)) - 1 )
"),0.023201856148491906)</f>
        <v/>
      </c>
      <c r="I58" s="26">
        <f>IFERROR(__xludf.DUMMYFUNCTION("(GOOGLEFINANCE(A58, ""price"") / INDEX(GOOGLEFINANCE(A58, ""close"", DATE(YEAR(TODAY()), 1, 1), TODAY()), 2, 2)) - 1"),-0.046339202965708925)</f>
        <v/>
      </c>
      <c r="J58" s="26">
        <f>IFERROR(__xludf.DUMMYFUNCTION("((GOOGLEFINANCE(A58, ""price"") / INDEX(GOOGLEFINANCE(A58, ""close"", DATE(2026,2,20)), 2, 2)) - 1 )
"),-0.013107416879795442)</f>
        <v/>
      </c>
      <c r="X58" s="56" t="n">
        <v>40</v>
      </c>
      <c r="Y58" s="56" t="n">
        <v>45</v>
      </c>
      <c r="Z58" s="56" t="n">
        <v>60</v>
      </c>
      <c r="AA58" s="56" t="n">
        <v>50</v>
      </c>
      <c r="AB58" s="56" t="n">
        <v>50</v>
      </c>
      <c r="AC58" s="57" t="inlineStr">
        <is>
          <t>JOYY's AI Distribution theme is relevant but recent momentum is weak with negative YTD. Social buzz is moderate with some KOL presence, and risk is average.</t>
        </is>
      </c>
    </row>
    <row r="59">
      <c r="A59" s="23" t="inlineStr">
        <is>
          <t>SYNA</t>
        </is>
      </c>
      <c r="B59" s="23" t="inlineStr">
        <is>
          <t>AI IoT</t>
        </is>
      </c>
      <c r="C59" s="4" t="inlineStr">
        <is>
          <t>https://x.com/LogicalThesis</t>
        </is>
      </c>
      <c r="D59" s="4" t="inlineStr">
        <is>
          <t>https://x.com/LogicalThesis/status/2010148346544247024</t>
        </is>
      </c>
      <c r="E59" s="40" t="n">
        <v>46033</v>
      </c>
      <c r="G59" s="4" t="inlineStr">
        <is>
          <t>https://x.com/LogicalThesis/status/2010148346544247024</t>
        </is>
      </c>
      <c r="H59" s="26">
        <f>IFERROR(__xludf.DUMMYFUNCTION("((GOOGLEFINANCE(A59, ""price"") / INDEX(GOOGLEFINANCE(A59, ""close"", TODAY()-7), 2, 2)) - 1 )
"),-0.00765717356260065)</f>
        <v/>
      </c>
      <c r="I59" s="26">
        <f>IFERROR(__xludf.DUMMYFUNCTION("(GOOGLEFINANCE(A59, ""price"") / INDEX(GOOGLEFINANCE(A59, ""close"", DATE(YEAR(TODAY()), 1, 1), TODAY()), 2, 2)) - 1"),-0.024689728016899837)</f>
        <v/>
      </c>
      <c r="J59" s="26">
        <f>IFERROR(__xludf.DUMMYFUNCTION("((GOOGLEFINANCE(A59, ""price"") / INDEX(GOOGLEFINANCE(A59, ""close"", DATE(2026,2,20)), 2, 2)) - 1 )
"),-0.12351684859990508)</f>
        <v/>
      </c>
      <c r="X59" s="56" t="n">
        <v>35</v>
      </c>
      <c r="Y59" s="56" t="n">
        <v>30</v>
      </c>
      <c r="Z59" s="56" t="n">
        <v>65</v>
      </c>
      <c r="AA59" s="56" t="n">
        <v>60</v>
      </c>
      <c r="AB59" s="56" t="n">
        <v>40</v>
      </c>
      <c r="AC59" s="57" t="inlineStr">
        <is>
          <t>SYNA has a relevant AI IoT theme but suffers from negative momentum and moderate volatility. Social buzz is limited, which combined with risk factors lowers overall attractiveness.</t>
        </is>
      </c>
    </row>
    <row r="60">
      <c r="A60" s="23" t="inlineStr">
        <is>
          <t>CEPT</t>
        </is>
      </c>
      <c r="B60" s="23" t="inlineStr">
        <is>
          <t>RWA</t>
        </is>
      </c>
      <c r="C60" s="4" t="inlineStr">
        <is>
          <t>https://x.com/SPACuity</t>
        </is>
      </c>
      <c r="D60" s="5" t="inlineStr">
        <is>
          <t>https://x.com/SPACuity/status/1983227368748572779</t>
        </is>
      </c>
      <c r="E60" s="39" t="n">
        <v>45959</v>
      </c>
      <c r="F60" s="5" t="inlineStr">
        <is>
          <t>https://x.com/TopTickResearch</t>
        </is>
      </c>
      <c r="G60" s="5" t="inlineStr">
        <is>
          <t>https://x.com/TopTickResearch/status/2009709455676715078</t>
        </is>
      </c>
      <c r="H60" s="26">
        <f>IFERROR(__xludf.DUMMYFUNCTION("((GOOGLEFINANCE(A60, ""price"") / INDEX(GOOGLEFINANCE(A60, ""close"", TODAY()-7), 2, 2)) - 1 )
"),-0.016949152542372947)</f>
        <v/>
      </c>
      <c r="I60" s="26">
        <f>IFERROR(__xludf.DUMMYFUNCTION("(GOOGLEFINANCE(A60, ""price"") / INDEX(GOOGLEFINANCE(A60, ""close"", DATE(YEAR(TODAY()), 1, 1), TODAY()), 2, 2)) - 1"),-0.020444444444444487)</f>
        <v/>
      </c>
      <c r="J60" s="26">
        <f>IFERROR(__xludf.DUMMYFUNCTION("((GOOGLEFINANCE(A60, ""price"") / INDEX(GOOGLEFINANCE(A60, ""close"", DATE(2026,2,20)), 2, 2)) - 1 )
"),-0.024778761061946986)</f>
        <v/>
      </c>
      <c r="X60" s="56" t="n">
        <v>35</v>
      </c>
      <c r="Y60" s="56" t="n">
        <v>35</v>
      </c>
      <c r="Z60" s="56" t="n">
        <v>70</v>
      </c>
      <c r="AA60" s="56" t="n">
        <v>65</v>
      </c>
      <c r="AB60" s="56" t="n">
        <v>55</v>
      </c>
      <c r="AC60" s="57" t="inlineStr">
        <is>
          <t>CEPT's Fintech &amp; Crypto theme with RWA focus is relevant but recent momentum is weak. Social buzz is decent, but higher volatility increases risk and lowers the overall score.</t>
        </is>
      </c>
    </row>
    <row r="61">
      <c r="A61" s="23" t="inlineStr">
        <is>
          <t>ONDS</t>
        </is>
      </c>
      <c r="B61" s="23" t="inlineStr">
        <is>
          <t>Drone</t>
        </is>
      </c>
      <c r="C61" s="4" t="inlineStr">
        <is>
          <t>https://x.com/StonkValue</t>
        </is>
      </c>
      <c r="D61" s="4" t="inlineStr">
        <is>
          <t>https://x.com/StonkValue/status/1984817047717793802</t>
        </is>
      </c>
      <c r="E61" s="40" t="n">
        <v>45963</v>
      </c>
      <c r="F61" s="4" t="inlineStr">
        <is>
          <t>https://x.com/Jake__Wujastyk</t>
        </is>
      </c>
      <c r="G61" s="4" t="inlineStr">
        <is>
          <t>https://x.com/itschrisray/status/2007929781929578798</t>
        </is>
      </c>
      <c r="H61" s="26">
        <f>IFERROR(__xludf.DUMMYFUNCTION("((GOOGLEFINANCE(A61, ""price"") / INDEX(GOOGLEFINANCE(A61, ""close"", TODAY()-7), 2, 2)) - 1 )
"),0.04526748971193406)</f>
        <v/>
      </c>
      <c r="I61" s="26">
        <f>IFERROR(__xludf.DUMMYFUNCTION("(GOOGLEFINANCE(A61, ""price"") / INDEX(GOOGLEFINANCE(A61, ""close"", DATE(YEAR(TODAY()), 1, 1), TODAY()), 2, 2)) - 1"),-0.07803992740471866)</f>
        <v/>
      </c>
      <c r="J61" s="26">
        <f>IFERROR(__xludf.DUMMYFUNCTION("((GOOGLEFINANCE(A61, ""price"") / INDEX(GOOGLEFINANCE(A61, ""close"", DATE(2026,2,20)), 2, 2)) - 1 )
"),0.012961116650049842)</f>
        <v/>
      </c>
      <c r="X61" s="56" t="n">
        <v>40</v>
      </c>
      <c r="Y61" s="56" t="n">
        <v>50</v>
      </c>
      <c r="Z61" s="56" t="n">
        <v>55</v>
      </c>
      <c r="AA61" s="56" t="n">
        <v>60</v>
      </c>
      <c r="AB61" s="56" t="n">
        <v>50</v>
      </c>
      <c r="AC61" s="57" t="inlineStr">
        <is>
          <t>ONDS operates in the Drone theme with moderate thematic relevance and social buzz. Momentum is mixed with negative YTD but positive recent performance, and risk is moderate due to volatility.</t>
        </is>
      </c>
    </row>
    <row r="62">
      <c r="A62" s="23" t="inlineStr">
        <is>
          <t>SATS</t>
        </is>
      </c>
      <c r="B62" s="23" t="inlineStr">
        <is>
          <t>Aerospace</t>
        </is>
      </c>
      <c r="C62" s="4" t="inlineStr">
        <is>
          <t>https://x.com/TheValueist</t>
        </is>
      </c>
      <c r="E62" s="39" t="n">
        <v>46009</v>
      </c>
      <c r="F62" s="4" t="inlineStr">
        <is>
          <t>https://x.com/johnsontrades_</t>
        </is>
      </c>
      <c r="G62" s="4" t="inlineStr">
        <is>
          <t>https://x.com/johnsontrades_/status/2011530004996260040</t>
        </is>
      </c>
      <c r="H62" s="26">
        <f>IFERROR(__xludf.DUMMYFUNCTION("((GOOGLEFINANCE(A62, ""price"") / INDEX(GOOGLEFINANCE(A62, ""close"", TODAY()-7), 2, 2)) - 1 )
"),-0.014374090247452731)</f>
        <v/>
      </c>
      <c r="I62" s="26">
        <f>IFERROR(__xludf.DUMMYFUNCTION("(GOOGLEFINANCE(A62, ""price"") / INDEX(GOOGLEFINANCE(A62, ""close"", DATE(YEAR(TODAY()), 1, 1), TODAY()), 2, 2)) - 1"),-0.03423070065965417)</f>
        <v/>
      </c>
      <c r="J62" s="26">
        <f>IFERROR(__xludf.DUMMYFUNCTION("((GOOGLEFINANCE(A62, ""price"") / INDEX(GOOGLEFINANCE(A62, ""close"", DATE(2026,2,20)), 2, 2)) - 1 )
"),-0.018303733236679887)</f>
        <v/>
      </c>
      <c r="X62" s="56" t="n">
        <v>55</v>
      </c>
      <c r="Y62" s="56" t="n">
        <v>40</v>
      </c>
      <c r="Z62" s="56" t="n">
        <v>70</v>
      </c>
      <c r="AA62" s="56" t="n">
        <v>60</v>
      </c>
      <c r="AB62" s="56" t="n">
        <v>65</v>
      </c>
      <c r="AC62" s="57" t="inlineStr">
        <is>
          <t>SATS operates in the aerospace sector which remains relevant but has shown negative momentum YTD and weekly. Moderate risk due to volatility and moderate social buzz from notable KOLs. The aerospace theme is solid but not a top hot theme currently.</t>
        </is>
      </c>
    </row>
    <row r="63">
      <c r="A63" s="23" t="inlineStr">
        <is>
          <t>LPTH</t>
        </is>
      </c>
      <c r="B63" s="23" t="inlineStr">
        <is>
          <t>Photonics</t>
        </is>
      </c>
      <c r="C63" s="4" t="inlineStr">
        <is>
          <t>https://x.com/BussinBiotech</t>
        </is>
      </c>
      <c r="D63" s="4" t="inlineStr">
        <is>
          <t>https://x.com/BussinBiotech/status/1925280566477312104</t>
        </is>
      </c>
      <c r="E63" s="40" t="n">
        <v>45799</v>
      </c>
      <c r="F63" s="4" t="inlineStr">
        <is>
          <t>https://x.com/BussinBiotech</t>
        </is>
      </c>
      <c r="G63" s="23" t="n"/>
      <c r="H63" s="26">
        <f>IFERROR(__xludf.DUMMYFUNCTION("((GOOGLEFINANCE(A63, ""price"") / INDEX(GOOGLEFINANCE(A63, ""close"", TODAY()-7), 2, 2)) - 1 )
"),-0.05229936880072139)</f>
        <v/>
      </c>
      <c r="I63" s="26">
        <f>IFERROR(__xludf.DUMMYFUNCTION("(GOOGLEFINANCE(A63, ""price"") / INDEX(GOOGLEFINANCE(A63, ""close"", DATE(YEAR(TODAY()), 1, 1), TODAY()), 2, 2)) - 1"),-0.10324232081911267)</f>
        <v/>
      </c>
      <c r="J63" s="26">
        <f>IFERROR(__xludf.DUMMYFUNCTION("((GOOGLEFINANCE(A63, ""price"") / INDEX(GOOGLEFINANCE(A63, ""close"", DATE(2026,2,20)), 2, 2)) - 1 )
"),-0.12416666666666665)</f>
        <v/>
      </c>
      <c r="X63" s="56" t="n">
        <v>35</v>
      </c>
      <c r="Y63" s="56" t="n">
        <v>25</v>
      </c>
      <c r="Z63" s="56" t="n">
        <v>50</v>
      </c>
      <c r="AA63" s="56" t="n">
        <v>75</v>
      </c>
      <c r="AB63" s="56" t="n">
        <v>55</v>
      </c>
      <c r="AC63" s="57" t="inlineStr">
        <is>
          <t>LPTH is in photonics, a niche but important tech theme. However, it has weak momentum with significant negative returns and high volatility, increasing risk. Social buzz is moderate but limited to one KOL.</t>
        </is>
      </c>
    </row>
    <row r="64">
      <c r="A64" s="23" t="inlineStr">
        <is>
          <t>TMC</t>
        </is>
      </c>
      <c r="B64" s="23" t="inlineStr">
        <is>
          <t>Rare Earth</t>
        </is>
      </c>
      <c r="C64" s="4" t="inlineStr">
        <is>
          <t>https://x.com/Deadbrokeinvest</t>
        </is>
      </c>
      <c r="D64" s="5" t="inlineStr">
        <is>
          <t>https://x.com/Deadbrokeinvest/status/1795819079955370265</t>
        </is>
      </c>
      <c r="E64" s="40" t="n">
        <v>45441</v>
      </c>
      <c r="F64" s="5" t="inlineStr">
        <is>
          <t>https://x.com/Deadbrokeinvest</t>
        </is>
      </c>
      <c r="G64" s="23" t="n"/>
      <c r="H64" s="26">
        <f>IFERROR(__xludf.DUMMYFUNCTION("((GOOGLEFINANCE(A64, ""price"") / INDEX(GOOGLEFINANCE(A64, ""close"", TODAY()-7), 2, 2)) - 1 )
"),-0.04784688995215314)</f>
        <v/>
      </c>
      <c r="I64" s="26">
        <f>IFERROR(__xludf.DUMMYFUNCTION("(GOOGLEFINANCE(A64, ""price"") / INDEX(GOOGLEFINANCE(A64, ""close"", DATE(YEAR(TODAY()), 1, 1), TODAY()), 2, 2)) - 1"),-0.11946902654867264)</f>
        <v/>
      </c>
      <c r="J64" s="26">
        <f>IFERROR(__xludf.DUMMYFUNCTION("((GOOGLEFINANCE(A64, ""price"") / INDEX(GOOGLEFINANCE(A64, ""close"", DATE(2026,2,20)), 2, 2)) - 1 )
"),0.017035775127768327)</f>
        <v/>
      </c>
      <c r="X64" s="56" t="n">
        <v>38</v>
      </c>
      <c r="Y64" s="56" t="n">
        <v>30</v>
      </c>
      <c r="Z64" s="56" t="n">
        <v>55</v>
      </c>
      <c r="AA64" s="56" t="n">
        <v>70</v>
      </c>
      <c r="AB64" s="56" t="n">
        <v>50</v>
      </c>
      <c r="AC64" s="57" t="inlineStr">
        <is>
          <t>TMC focuses on rare earths, a critical theme for tech and defense but currently underperforming with negative momentum and high risk. Social buzz is modest, limiting overall attractiveness.</t>
        </is>
      </c>
    </row>
    <row r="65">
      <c r="A65" s="23" t="inlineStr">
        <is>
          <t>SHMD</t>
        </is>
      </c>
      <c r="B65" s="23" t="inlineStr">
        <is>
          <t>AI PCB</t>
        </is>
      </c>
      <c r="C65" s="4" t="inlineStr">
        <is>
          <t>https://x.com/Mike10947310</t>
        </is>
      </c>
      <c r="D65" s="5" t="inlineStr">
        <is>
          <t>https://x.com/Mike10947310/status/1990154331589394776</t>
        </is>
      </c>
      <c r="E65" s="39" t="n">
        <v>45977</v>
      </c>
      <c r="F65" s="5" t="inlineStr">
        <is>
          <t>https://x.com/Mike10947310</t>
        </is>
      </c>
      <c r="H65" s="26">
        <f>IFERROR(__xludf.DUMMYFUNCTION("((GOOGLEFINANCE(A65, ""price"") / INDEX(GOOGLEFINANCE(A65, ""close"", TODAY()-7), 2, 2)) - 1 )
"),-0.010971786833855801)</f>
        <v/>
      </c>
      <c r="I65" s="26">
        <f>IFERROR(__xludf.DUMMYFUNCTION("(GOOGLEFINANCE(A65, ""price"") / INDEX(GOOGLEFINANCE(A65, ""close"", DATE(YEAR(TODAY()), 1, 1), TODAY()), 2, 2)) - 1"),-0.15866666666666673)</f>
        <v/>
      </c>
      <c r="J65" s="26">
        <f>IFERROR(__xludf.DUMMYFUNCTION("((GOOGLEFINANCE(A65, ""price"") / INDEX(GOOGLEFINANCE(A65, ""close"", DATE(2026,2,20)), 2, 2)) - 1 )
"),-0.19515306122448983)</f>
        <v/>
      </c>
      <c r="X65" s="56" t="n">
        <v>30</v>
      </c>
      <c r="Y65" s="56" t="n">
        <v>20</v>
      </c>
      <c r="Z65" s="56" t="n">
        <v>60</v>
      </c>
      <c r="AA65" s="56" t="n">
        <v>80</v>
      </c>
      <c r="AB65" s="56" t="n">
        <v>50</v>
      </c>
      <c r="AC65" s="57" t="inlineStr">
        <is>
          <t>SHMD is in AI PCB, a relevant AI theme, but has poor momentum and very high risk due to volatility and steep losses. Social buzz is average but insufficient to offset risk.</t>
        </is>
      </c>
    </row>
    <row r="66">
      <c r="A66" s="23" t="inlineStr">
        <is>
          <t>RKLB</t>
        </is>
      </c>
      <c r="B66" s="23" t="inlineStr">
        <is>
          <t>Aerospace</t>
        </is>
      </c>
      <c r="C66" s="4" t="inlineStr">
        <is>
          <t>https://x.com/itschrisray</t>
        </is>
      </c>
      <c r="D66" s="4" t="inlineStr">
        <is>
          <t>https://x.com/itschrisray/status/1985332628455575862</t>
        </is>
      </c>
      <c r="E66" s="40" t="n">
        <v>45964</v>
      </c>
      <c r="F66" s="4" t="inlineStr">
        <is>
          <t>https://x.com/RedDogT3</t>
        </is>
      </c>
      <c r="G66" s="4" t="inlineStr">
        <is>
          <t>https://x.com/RJCcapital/status/2008279399171281087</t>
        </is>
      </c>
      <c r="H66" s="26">
        <f>IFERROR(__xludf.DUMMYFUNCTION("((GOOGLEFINANCE(A66, ""price"") / INDEX(GOOGLEFINANCE(A66, ""close"", TODAY()-7), 2, 2)) - 1 )
"),-0.04294907666480141)</f>
        <v/>
      </c>
      <c r="I66" s="26">
        <f>IFERROR(__xludf.DUMMYFUNCTION("(GOOGLEFINANCE(A66, ""price"") / INDEX(GOOGLEFINANCE(A66, ""close"", DATE(YEAR(TODAY()), 1, 1), TODAY()), 2, 2)) - 1"),-0.09974996710093431)</f>
        <v/>
      </c>
      <c r="J66" s="26">
        <f>IFERROR(__xludf.DUMMYFUNCTION("((GOOGLEFINANCE(A66, ""price"") / INDEX(GOOGLEFINANCE(A66, ""close"", DATE(2026,2,20)), 2, 2)) - 1 )
"),-0.03457521874117986)</f>
        <v/>
      </c>
      <c r="X66" s="56" t="n">
        <v>45</v>
      </c>
      <c r="Y66" s="56" t="n">
        <v>35</v>
      </c>
      <c r="Z66" s="56" t="n">
        <v>65</v>
      </c>
      <c r="AA66" s="56" t="n">
        <v>65</v>
      </c>
      <c r="AB66" s="56" t="n">
        <v>60</v>
      </c>
      <c r="AC66" s="57" t="inlineStr">
        <is>
          <t>RKLB in aerospace has moderate thematic relevance and social buzz but suffers from negative momentum and moderate risk. The sector is stable but not a top performer currently.</t>
        </is>
      </c>
    </row>
    <row r="67">
      <c r="A67" s="23" t="inlineStr">
        <is>
          <t>CRSP</t>
        </is>
      </c>
      <c r="B67" s="23" t="inlineStr">
        <is>
          <t>Gene Editing</t>
        </is>
      </c>
      <c r="C67" s="23" t="n"/>
      <c r="D67" s="23" t="n"/>
      <c r="E67" s="39" t="n"/>
      <c r="F67" s="23" t="n"/>
      <c r="G67" s="23" t="n"/>
      <c r="H67" s="26">
        <f>IFERROR(__xludf.DUMMYFUNCTION("((GOOGLEFINANCE(A67, ""price"") / INDEX(GOOGLEFINANCE(A67, ""close"", TODAY()-7), 2, 2)) - 1 )
"),-0.17063627084042188)</f>
        <v/>
      </c>
      <c r="I67" s="26">
        <f>IFERROR(__xludf.DUMMYFUNCTION("(GOOGLEFINANCE(A67, ""price"") / INDEX(GOOGLEFINANCE(A67, ""close"", DATE(YEAR(TODAY()), 1, 1), TODAY()), 2, 2)) - 1"),-0.09336061000557938)</f>
        <v/>
      </c>
      <c r="J67" s="26">
        <f>IFERROR(__xludf.DUMMYFUNCTION("((GOOGLEFINANCE(A67, ""price"") / INDEX(GOOGLEFINANCE(A67, ""close"", DATE(2026,2,20)), 2, 2)) - 1 )
"),-0.08810325476992142)</f>
        <v/>
      </c>
      <c r="X67" s="56" t="n">
        <v>28</v>
      </c>
      <c r="Y67" s="56" t="n">
        <v>20</v>
      </c>
      <c r="Z67" s="56" t="n">
        <v>40</v>
      </c>
      <c r="AA67" s="56" t="n">
        <v>85</v>
      </c>
      <c r="AB67" s="56" t="n">
        <v>20</v>
      </c>
      <c r="AC67" s="57" t="inlineStr">
        <is>
          <t>CRSP is in gene editing, a specialized theme but with very poor momentum and high risk. Lack of KOL backing results in low social buzz, making it less attractive currently.</t>
        </is>
      </c>
    </row>
    <row r="68">
      <c r="A68" s="23" t="inlineStr">
        <is>
          <t>DPRO</t>
        </is>
      </c>
      <c r="B68" s="23" t="inlineStr">
        <is>
          <t>Drone</t>
        </is>
      </c>
      <c r="C68" s="4" t="inlineStr">
        <is>
          <t>https://x.com/fundmyfund</t>
        </is>
      </c>
      <c r="D68" s="4" t="inlineStr">
        <is>
          <t>https://x.com/fundmyfund/status/1945516882968068267</t>
        </is>
      </c>
      <c r="E68" s="40" t="n">
        <v>45854</v>
      </c>
      <c r="F68" s="4" t="inlineStr">
        <is>
          <t>https://x.com/fundmyfund</t>
        </is>
      </c>
      <c r="G68" s="23" t="n"/>
      <c r="H68" s="26">
        <f>IFERROR(__xludf.DUMMYFUNCTION("((GOOGLEFINANCE(A68, ""price"") / INDEX(GOOGLEFINANCE(A68, ""close"", TODAY()-7), 2, 2)) - 1 )
"),0.0031645569620253333)</f>
        <v/>
      </c>
      <c r="I68" s="26">
        <f>IFERROR(__xludf.DUMMYFUNCTION("(GOOGLEFINANCE(A68, ""price"") / INDEX(GOOGLEFINANCE(A68, ""close"", DATE(YEAR(TODAY()), 1, 1), TODAY()), 2, 2)) - 1"),-0.13741496598639458)</f>
        <v/>
      </c>
      <c r="J68" s="26">
        <f>IFERROR(__xludf.DUMMYFUNCTION("((GOOGLEFINANCE(A68, ""price"") / INDEX(GOOGLEFINANCE(A68, ""close"", DATE(2026,2,20)), 2, 2)) - 1 )
"),-0.19645120405576677)</f>
        <v/>
      </c>
      <c r="X68" s="56" t="n">
        <v>40</v>
      </c>
      <c r="Y68" s="56" t="n">
        <v>35</v>
      </c>
      <c r="Z68" s="56" t="n">
        <v>60</v>
      </c>
      <c r="AA68" s="56" t="n">
        <v>70</v>
      </c>
      <c r="AB68" s="56" t="n">
        <v>55</v>
      </c>
      <c r="AC68" s="57" t="inlineStr">
        <is>
          <t>DPRO in defense drone tech has a relevant theme but weak momentum and high risk. Moderate social buzz from a known KOL helps, but overall scores are subdued due to performance.</t>
        </is>
      </c>
    </row>
    <row r="69">
      <c r="A69" s="23" t="inlineStr">
        <is>
          <t>ZETA</t>
        </is>
      </c>
      <c r="B69" s="23" t="inlineStr">
        <is>
          <t>AI Agent</t>
        </is>
      </c>
      <c r="C69" s="4" t="inlineStr">
        <is>
          <t>https://x.com/TheRonnieVShow</t>
        </is>
      </c>
      <c r="D69" s="4" t="inlineStr">
        <is>
          <t>https://x.com/TheRonnieVShow/status/1936569653696074103</t>
        </is>
      </c>
      <c r="E69" s="40" t="n">
        <v>45829</v>
      </c>
      <c r="F69" s="4" t="inlineStr">
        <is>
          <t>https://x.com/MrMikeInvesting</t>
        </is>
      </c>
      <c r="G69" s="4" t="inlineStr">
        <is>
          <t>https://x.com/LeaderInvests/status/2011054315511710179</t>
        </is>
      </c>
      <c r="H69" s="26">
        <f>IFERROR(__xludf.DUMMYFUNCTION("((GOOGLEFINANCE(A69, ""price"") / INDEX(GOOGLEFINANCE(A69, ""close"", TODAY()-7), 2, 2)) - 1 )
"),-0.06498951781970641)</f>
        <v/>
      </c>
      <c r="I69" s="26">
        <f>IFERROR(__xludf.DUMMYFUNCTION("(GOOGLEFINANCE(A69, ""price"") / INDEX(GOOGLEFINANCE(A69, ""close"", DATE(YEAR(TODAY()), 1, 1), TODAY()), 2, 2)) - 1"),-0.10396785534907083)</f>
        <v/>
      </c>
      <c r="J69" s="26">
        <f>IFERROR(__xludf.DUMMYFUNCTION("((GOOGLEFINANCE(A69, ""price"") / INDEX(GOOGLEFINANCE(A69, ""close"", DATE(2026,2,20)), 2, 2)) - 1 )
"),0.09380748007357465)</f>
        <v/>
      </c>
      <c r="X69" s="56" t="n">
        <v>50</v>
      </c>
      <c r="Y69" s="56" t="n">
        <v>40</v>
      </c>
      <c r="Z69" s="56" t="n">
        <v>70</v>
      </c>
      <c r="AA69" s="56" t="n">
        <v>65</v>
      </c>
      <c r="AB69" s="56" t="n">
        <v>65</v>
      </c>
      <c r="AC69" s="57" t="inlineStr">
        <is>
          <t>ZETA is an AI Agent play with a strong thematic score and decent social buzz. Momentum is weak but recent positive specific date performance helps. Risk remains moderate due to volatility.</t>
        </is>
      </c>
    </row>
    <row r="70">
      <c r="A70" s="23" t="inlineStr">
        <is>
          <t>VELO</t>
        </is>
      </c>
      <c r="B70" s="23" t="inlineStr">
        <is>
          <t>Aerospace</t>
        </is>
      </c>
      <c r="C70" s="4" t="inlineStr">
        <is>
          <t>https://x.com/kingtutcap</t>
        </is>
      </c>
      <c r="D70" s="4" t="inlineStr">
        <is>
          <t>https://x.com/kingtutcap/status/1975201635598225579</t>
        </is>
      </c>
      <c r="E70" s="39" t="n">
        <v>45944</v>
      </c>
      <c r="F70" s="4" t="inlineStr">
        <is>
          <t>https://x.com/kingtutcap</t>
        </is>
      </c>
      <c r="G70" s="4" t="inlineStr">
        <is>
          <t>https://x.com/RodrigoLezama7/status/1998865978806120590</t>
        </is>
      </c>
      <c r="H70" s="26">
        <f>IFERROR(__xludf.DUMMYFUNCTION("((GOOGLEFINANCE(A70, ""price"") / INDEX(GOOGLEFINANCE(A70, ""close"", TODAY()-7), 2, 2)) - 1 )
"),0.15479115479115468)</f>
        <v/>
      </c>
      <c r="I70" s="26">
        <f>IFERROR(__xludf.DUMMYFUNCTION("(GOOGLEFINANCE(A70, ""price"") / INDEX(GOOGLEFINANCE(A70, ""close"", DATE(YEAR(TODAY()), 1, 1), TODAY()), 2, 2)) - 1"),-0.14957780458383585)</f>
        <v/>
      </c>
      <c r="J70" s="26">
        <f>IFERROR(__xludf.DUMMYFUNCTION("((GOOGLEFINANCE(A70, ""price"") / INDEX(GOOGLEFINANCE(A70, ""close"", DATE(2026,2,20)), 2, 2)) - 1 )
"),0.5580110497237567)</f>
        <v/>
      </c>
      <c r="X70" s="56" t="n">
        <v>65</v>
      </c>
      <c r="Y70" s="56" t="n">
        <v>75</v>
      </c>
      <c r="Z70" s="56" t="n">
        <v>75</v>
      </c>
      <c r="AA70" s="56" t="n">
        <v>70</v>
      </c>
      <c r="AB70" s="56" t="n">
        <v>70</v>
      </c>
      <c r="AC70" s="57" t="inlineStr">
        <is>
          <t>VELO in aerospace shows strong recent momentum with a big spike, solid thematic relevance, and good social buzz from KOLs. Risk is elevated due to volatility but overall attractiveness is high.</t>
        </is>
      </c>
    </row>
    <row r="71">
      <c r="A71" s="23" t="inlineStr">
        <is>
          <t>TMQ</t>
        </is>
      </c>
      <c r="H71" s="26">
        <f>IFERROR(__xludf.DUMMYFUNCTION("((GOOGLEFINANCE(A71, ""price"") / INDEX(GOOGLEFINANCE(A71, ""close"", TODAY()-7), 2, 2)) - 1 )
"),-0.029925187032418865)</f>
        <v/>
      </c>
      <c r="I71" s="26">
        <f>IFERROR(__xludf.DUMMYFUNCTION("(GOOGLEFINANCE(A71, ""price"") / INDEX(GOOGLEFINANCE(A71, ""close"", DATE(YEAR(TODAY()), 1, 1), TODAY()), 2, 2)) - 1"),-0.15250544662309362)</f>
        <v/>
      </c>
      <c r="J71" s="26">
        <f>IFERROR(__xludf.DUMMYFUNCTION("((GOOGLEFINANCE(A71, ""price"") / INDEX(GOOGLEFINANCE(A71, ""close"", DATE(2026,2,20)), 2, 2)) - 1 )
"),-0.005115089514066473)</f>
        <v/>
      </c>
      <c r="X71" s="56" t="n">
        <v>25</v>
      </c>
      <c r="Y71" s="56" t="n">
        <v>30</v>
      </c>
      <c r="Z71" s="56" t="n">
        <v>30</v>
      </c>
      <c r="AA71" s="56" t="n">
        <v>75</v>
      </c>
      <c r="AB71" s="56" t="n">
        <v>20</v>
      </c>
      <c r="AC71" s="57" t="inlineStr">
        <is>
          <t>TMQ lacks a clear theme and shows poor momentum and high risk. No notable social buzz reduces attractiveness further.</t>
        </is>
      </c>
    </row>
    <row r="72">
      <c r="A72" s="23" t="inlineStr">
        <is>
          <t>IDR</t>
        </is>
      </c>
      <c r="H72" s="26">
        <f>IFERROR(__xludf.DUMMYFUNCTION("((GOOGLEFINANCE(A72, ""price"") / INDEX(GOOGLEFINANCE(A72, ""close"", TODAY()-7), 2, 2)) - 1 )
"),-0.07139065817409762)</f>
        <v/>
      </c>
      <c r="I72" s="26">
        <f>IFERROR(__xludf.DUMMYFUNCTION("(GOOGLEFINANCE(A72, ""price"") / INDEX(GOOGLEFINANCE(A72, ""close"", DATE(YEAR(TODAY()), 1, 1), TODAY()), 2, 2)) - 1"),-0.14928276197422807)</f>
        <v/>
      </c>
      <c r="J72" s="26">
        <f>IFERROR(__xludf.DUMMYFUNCTION("((GOOGLEFINANCE(A72, ""price"") / INDEX(GOOGLEFINANCE(A72, ""close"", DATE(2026,2,20)), 2, 2)) - 1 )
"),-0.08903931267898968)</f>
        <v/>
      </c>
      <c r="X72" s="56" t="n">
        <v>25</v>
      </c>
      <c r="Y72" s="56" t="n">
        <v>25</v>
      </c>
      <c r="Z72" s="56" t="n">
        <v>30</v>
      </c>
      <c r="AA72" s="56" t="n">
        <v>75</v>
      </c>
      <c r="AB72" s="56" t="n">
        <v>20</v>
      </c>
      <c r="AC72" s="57" t="inlineStr">
        <is>
          <t>IDR has no defined theme, weak momentum, and high risk. Absence of KOL support results in low social buzz.</t>
        </is>
      </c>
    </row>
    <row r="73">
      <c r="A73" s="23" t="inlineStr">
        <is>
          <t>OSCR</t>
        </is>
      </c>
      <c r="B73" s="23" t="inlineStr">
        <is>
          <t>Healthcare</t>
        </is>
      </c>
      <c r="C73" s="4" t="inlineStr">
        <is>
          <t>https://x.com/TheRonnieVShow</t>
        </is>
      </c>
      <c r="D73" s="4" t="inlineStr">
        <is>
          <t>https://x.com/TheRonnieVShow/status/1939024428538700083</t>
        </is>
      </c>
      <c r="E73" s="40" t="n">
        <v>45836</v>
      </c>
      <c r="F73" s="4" t="inlineStr">
        <is>
          <t>https://x.com/danielnewmanUV</t>
        </is>
      </c>
      <c r="G73" s="4" t="inlineStr">
        <is>
          <t>https://x.com/techandcapital/status/1925345388753498200</t>
        </is>
      </c>
      <c r="H73" s="26">
        <f>IFERROR(__xludf.DUMMYFUNCTION("((GOOGLEFINANCE(A73, ""price"") / INDEX(GOOGLEFINANCE(A73, ""close"", TODAY()-7), 2, 2)) - 1 )
"),-0.05229226361031525)</f>
        <v/>
      </c>
      <c r="I73" s="26">
        <f>IFERROR(__xludf.DUMMYFUNCTION("(GOOGLEFINANCE(A73, ""price"") / INDEX(GOOGLEFINANCE(A73, ""close"", DATE(YEAR(TODAY()), 1, 1), TODAY()), 2, 2)) - 1"),-0.11623246492985972)</f>
        <v/>
      </c>
      <c r="J73" s="26">
        <f>IFERROR(__xludf.DUMMYFUNCTION("((GOOGLEFINANCE(A73, ""price"") / INDEX(GOOGLEFINANCE(A73, ""close"", DATE(2026,2,20)), 2, 2)) - 1 )
"),0.0)</f>
        <v/>
      </c>
      <c r="X73" s="56" t="n">
        <v>35</v>
      </c>
      <c r="Y73" s="56" t="n">
        <v>30</v>
      </c>
      <c r="Z73" s="56" t="n">
        <v>45</v>
      </c>
      <c r="AA73" s="56" t="n">
        <v>70</v>
      </c>
      <c r="AB73" s="56" t="n">
        <v>50</v>
      </c>
      <c r="AC73" s="57" t="inlineStr">
        <is>
          <t>OSCR in healthcare has a moderate theme score but poor momentum and high risk. Social buzz is moderate due to some KOL presence.</t>
        </is>
      </c>
    </row>
    <row r="74">
      <c r="A74" s="23" t="inlineStr">
        <is>
          <t>GLXY</t>
        </is>
      </c>
      <c r="B74" s="23" t="inlineStr">
        <is>
          <t>AI Hyperscaler</t>
        </is>
      </c>
      <c r="C74" s="4" t="inlineStr">
        <is>
          <t>https://x.com/FloodCapital</t>
        </is>
      </c>
      <c r="D74" s="4" t="inlineStr">
        <is>
          <t>https://x.com/FloodCapital/status/1405635714608414721</t>
        </is>
      </c>
      <c r="E74" s="40" t="n">
        <v>44365</v>
      </c>
      <c r="F74" s="4" t="inlineStr">
        <is>
          <t>https://x.com/FloodCapital</t>
        </is>
      </c>
      <c r="G74" s="23" t="n"/>
      <c r="H74" s="26">
        <f>IFERROR(__xludf.DUMMYFUNCTION("((GOOGLEFINANCE(A74, ""price"") / INDEX(GOOGLEFINANCE(A74, ""close"", TODAY()-7), 2, 2)) - 1 )
"),0.03953488372093039)</f>
        <v/>
      </c>
      <c r="I74" s="26">
        <f>IFERROR(__xludf.DUMMYFUNCTION("(GOOGLEFINANCE(A74, ""price"") / INDEX(GOOGLEFINANCE(A74, ""close"", DATE(YEAR(TODAY()), 1, 1), TODAY()), 2, 2)) - 1"),-0.09696969696969693)</f>
        <v/>
      </c>
      <c r="J74" s="26">
        <f>IFERROR(__xludf.DUMMYFUNCTION("((GOOGLEFINANCE(A74, ""price"") / INDEX(GOOGLEFINANCE(A74, ""close"", DATE(2026,2,20)), 2, 2)) - 1 )
"),0.054245283018867996)</f>
        <v/>
      </c>
      <c r="X74" s="56" t="n">
        <v>55</v>
      </c>
      <c r="Y74" s="56" t="n">
        <v>55</v>
      </c>
      <c r="Z74" s="56" t="n">
        <v>70</v>
      </c>
      <c r="AA74" s="56" t="n">
        <v>60</v>
      </c>
      <c r="AB74" s="56" t="n">
        <v>65</v>
      </c>
      <c r="AC74" s="57" t="inlineStr">
        <is>
          <t>GLXY is an AI hyperscaler in fintech &amp; crypto with decent momentum and strong thematic relevance. Moderate risk and good social buzz from KOLs support a balanced investment profile.</t>
        </is>
      </c>
    </row>
    <row r="75">
      <c r="A75" s="23" t="inlineStr">
        <is>
          <t>BKKT</t>
        </is>
      </c>
      <c r="B75" s="23" t="inlineStr">
        <is>
          <t>RWA</t>
        </is>
      </c>
      <c r="C75" s="4" t="inlineStr">
        <is>
          <t>https://x.com/mikealfred</t>
        </is>
      </c>
      <c r="D75" s="4" t="inlineStr">
        <is>
          <t>https://x.com/mikealfred/status/1970548682136396189</t>
        </is>
      </c>
      <c r="E75" s="40" t="n">
        <v>45923</v>
      </c>
      <c r="F75" s="4" t="inlineStr">
        <is>
          <t>https://x.com/JuveCapital</t>
        </is>
      </c>
      <c r="G75" s="4" t="inlineStr">
        <is>
          <t>https://x.com/JuveCapital/status/1972318183022301374</t>
        </is>
      </c>
      <c r="H75" s="26">
        <f>IFERROR(__xludf.DUMMYFUNCTION("((GOOGLEFINANCE(A75, ""price"") / INDEX(GOOGLEFINANCE(A75, ""close"", TODAY()-7), 2, 2)) - 1 )
"),0.0249457700650757)</f>
        <v/>
      </c>
      <c r="I75" s="26">
        <f>IFERROR(__xludf.DUMMYFUNCTION("(GOOGLEFINANCE(A75, ""price"") / INDEX(GOOGLEFINANCE(A75, ""close"", DATE(YEAR(TODAY()), 1, 1), TODAY()), 2, 2)) - 1"),-0.16000000000000003)</f>
        <v/>
      </c>
      <c r="J75" s="26">
        <f>IFERROR(__xludf.DUMMYFUNCTION("((GOOGLEFINANCE(A75, ""price"") / INDEX(GOOGLEFINANCE(A75, ""close"", DATE(2026,2,20)), 2, 2)) - 1 )
"),-0.09482758620689657)</f>
        <v/>
      </c>
      <c r="X75" s="56" t="n">
        <v>40</v>
      </c>
      <c r="Y75" s="56" t="n">
        <v>45</v>
      </c>
      <c r="Z75" s="56" t="n">
        <v>60</v>
      </c>
      <c r="AA75" s="56" t="n">
        <v>70</v>
      </c>
      <c r="AB75" s="56" t="n">
        <v>60</v>
      </c>
      <c r="AC75" s="57" t="inlineStr">
        <is>
          <t>BKKT in crypto RWA theme has moderate momentum and thematic relevance. Risk is elevated due to crypto volatility but social buzz is solid from known contributors.</t>
        </is>
      </c>
    </row>
    <row r="76">
      <c r="A76" s="23" t="inlineStr">
        <is>
          <t>ALMU</t>
        </is>
      </c>
      <c r="B76" s="23" t="inlineStr">
        <is>
          <t>Photonics</t>
        </is>
      </c>
      <c r="C76" s="4" t="inlineStr">
        <is>
          <t>https://x.com/crux_capital_</t>
        </is>
      </c>
      <c r="D76" s="4" t="inlineStr">
        <is>
          <t>https://x.com/crux_capital_/status/1974577924906119429</t>
        </is>
      </c>
      <c r="E76" s="40" t="n">
        <v>45955</v>
      </c>
      <c r="F76" s="4" t="inlineStr">
        <is>
          <t>https://x.com/crux_capital_</t>
        </is>
      </c>
      <c r="G76" s="23" t="n"/>
      <c r="H76" s="26">
        <f>IFERROR(__xludf.DUMMYFUNCTION("((GOOGLEFINANCE(A76, ""price"") / INDEX(GOOGLEFINANCE(A76, ""close"", TODAY()-7), 2, 2)) - 1 )
"),-0.0383116883116883)</f>
        <v/>
      </c>
      <c r="I76" s="26">
        <f>IFERROR(__xludf.DUMMYFUNCTION("(GOOGLEFINANCE(A76, ""price"") / INDEX(GOOGLEFINANCE(A76, ""close"", DATE(YEAR(TODAY()), 1, 1), TODAY()), 2, 2)) - 1"),-0.16797752808988764)</f>
        <v/>
      </c>
      <c r="J76" s="26">
        <f>IFERROR(__xludf.DUMMYFUNCTION("((GOOGLEFINANCE(A76, ""price"") / INDEX(GOOGLEFINANCE(A76, ""close"", DATE(2026,2,20)), 2, 2)) - 1 )
"),-0.03706111833550063)</f>
        <v/>
      </c>
      <c r="X76" s="56" t="n">
        <v>30</v>
      </c>
      <c r="Y76" s="56" t="n">
        <v>25</v>
      </c>
      <c r="Z76" s="56" t="n">
        <v>55</v>
      </c>
      <c r="AA76" s="56" t="n">
        <v>75</v>
      </c>
      <c r="AB76" s="56" t="n">
        <v>55</v>
      </c>
      <c r="AC76" s="57" t="inlineStr">
        <is>
          <t>ALMU in photonics has a relevant theme but weak momentum and high risk. Social buzz is moderate but insufficient to improve overall score significantly.</t>
        </is>
      </c>
    </row>
    <row r="77">
      <c r="A77" s="23" t="inlineStr">
        <is>
          <t>AVAV</t>
        </is>
      </c>
      <c r="B77" s="23" t="inlineStr">
        <is>
          <t>Drone</t>
        </is>
      </c>
      <c r="C77" s="4" t="inlineStr">
        <is>
          <t>https://x.com/TheValueist</t>
        </is>
      </c>
      <c r="D77" s="4" t="inlineStr">
        <is>
          <t>https://x.com/TheValueist/status/2009687481298321617</t>
        </is>
      </c>
      <c r="E77" s="40" t="n">
        <v>46031</v>
      </c>
      <c r="F77" s="4" t="inlineStr">
        <is>
          <t>https://x.com/TheValueist</t>
        </is>
      </c>
      <c r="G77" s="4" t="inlineStr">
        <is>
          <t>https://x.com/TheValueist/status/2009687481298321617</t>
        </is>
      </c>
      <c r="H77" s="26">
        <f>IFERROR(__xludf.DUMMYFUNCTION("((GOOGLEFINANCE(A77, ""price"") / INDEX(GOOGLEFINANCE(A77, ""close"", TODAY()-7), 2, 2)) - 1 )
"),-0.08896123894584007)</f>
        <v/>
      </c>
      <c r="I77" s="26">
        <f>IFERROR(__xludf.DUMMYFUNCTION("(GOOGLEFINANCE(A77, ""price"") / INDEX(GOOGLEFINANCE(A77, ""close"", DATE(YEAR(TODAY()), 1, 1), TODAY()), 2, 2)) - 1"),-0.1917326983879153)</f>
        <v/>
      </c>
      <c r="J77" s="26">
        <f>IFERROR(__xludf.DUMMYFUNCTION("((GOOGLEFINANCE(A77, ""price"") / INDEX(GOOGLEFINANCE(A77, ""close"", DATE(2026,2,20)), 2, 2)) - 1 )
"),-0.21751124211162753)</f>
        <v/>
      </c>
      <c r="X77" s="56" t="n">
        <v>40</v>
      </c>
      <c r="Y77" s="56" t="n">
        <v>25</v>
      </c>
      <c r="Z77" s="56" t="n">
        <v>60</v>
      </c>
      <c r="AA77" s="56" t="n">
        <v>70</v>
      </c>
      <c r="AB77" s="56" t="n">
        <v>55</v>
      </c>
      <c r="AC77" s="57" t="inlineStr">
        <is>
          <t>AVAV shows weak momentum with negative YTD and weekly performance. The drone theme is moderately relevant but not a top hot theme in 2025-2026. Moderate social buzz due to KOL presence but high volatility increases risk.</t>
        </is>
      </c>
    </row>
    <row r="78">
      <c r="A78" s="23" t="inlineStr">
        <is>
          <t>ETOR</t>
        </is>
      </c>
      <c r="B78" s="23" t="inlineStr">
        <is>
          <t>Crypto</t>
        </is>
      </c>
      <c r="C78" s="4" t="inlineStr">
        <is>
          <t>https://x.com/matthew_sigel</t>
        </is>
      </c>
      <c r="D78" s="4" t="inlineStr">
        <is>
          <t>https://x.com/matthew_sigel/status/2011819048619721163</t>
        </is>
      </c>
      <c r="E78" s="40" t="n">
        <v>46037</v>
      </c>
      <c r="F78" s="4" t="inlineStr">
        <is>
          <t>https://x.com/TipRanks</t>
        </is>
      </c>
      <c r="G78" s="4" t="inlineStr">
        <is>
          <t>https://x.com/matthew_sigel/status/2011819048619721163</t>
        </is>
      </c>
      <c r="H78" s="26">
        <f>IFERROR(__xludf.DUMMYFUNCTION("((GOOGLEFINANCE(A78, ""price"") / INDEX(GOOGLEFINANCE(A78, ""close"", TODAY()-7), 2, 2)) - 1 )
"),-0.04654844838505379)</f>
        <v/>
      </c>
      <c r="I78" s="26">
        <f>IFERROR(__xludf.DUMMYFUNCTION("(GOOGLEFINANCE(A78, ""price"") / INDEX(GOOGLEFINANCE(A78, ""close"", DATE(YEAR(TODAY()), 1, 1), TODAY()), 2, 2)) - 1"),-0.15610986547085204)</f>
        <v/>
      </c>
      <c r="J78" s="26">
        <f>IFERROR(__xludf.DUMMYFUNCTION("((GOOGLEFINANCE(A78, ""price"") / INDEX(GOOGLEFINANCE(A78, ""close"", DATE(2026,2,20)), 2, 2)) - 1 )
"),-0.03431686978832582)</f>
        <v/>
      </c>
      <c r="X78" s="56" t="n">
        <v>45</v>
      </c>
      <c r="Y78" s="56" t="n">
        <v>30</v>
      </c>
      <c r="Z78" s="56" t="n">
        <v>70</v>
      </c>
      <c r="AA78" s="56" t="n">
        <v>65</v>
      </c>
      <c r="AB78" s="56" t="n">
        <v>70</v>
      </c>
      <c r="AC78" s="57" t="inlineStr">
        <is>
          <t>ETOR has negative momentum but less severe than peers. Crypto remains a strong thematic play in fintech &amp; crypto sectors. Good social buzz from notable KOLs supports interest, though risk remains elevated due to volatility.</t>
        </is>
      </c>
    </row>
    <row r="79">
      <c r="A79" s="23" t="inlineStr">
        <is>
          <t>COUR</t>
        </is>
      </c>
      <c r="B79" s="23" t="inlineStr">
        <is>
          <t>AI Education</t>
        </is>
      </c>
      <c r="C79" s="4" t="inlineStr">
        <is>
          <t>https://x.com/buccocapital</t>
        </is>
      </c>
      <c r="D79" s="4" t="inlineStr">
        <is>
          <t>https://x.com/buccocapital/status/1951081917740359840</t>
        </is>
      </c>
      <c r="E79" s="40" t="n">
        <v>45870</v>
      </c>
      <c r="F79" s="4" t="inlineStr">
        <is>
          <t>https://x.com/buccocapital</t>
        </is>
      </c>
      <c r="G79" s="4" t="inlineStr">
        <is>
          <t>https://x.com/buccocapital/status/1951081917740359840</t>
        </is>
      </c>
      <c r="H79" s="26">
        <f>IFERROR(__xludf.DUMMYFUNCTION("((GOOGLEFINANCE(A79, ""price"") / INDEX(GOOGLEFINANCE(A79, ""close"", TODAY()-7), 2, 2)) - 1 )
"),-0.01788617886178867)</f>
        <v/>
      </c>
      <c r="I79" s="26">
        <f>IFERROR(__xludf.DUMMYFUNCTION("(GOOGLEFINANCE(A79, ""price"") / INDEX(GOOGLEFINANCE(A79, ""close"", DATE(YEAR(TODAY()), 1, 1), TODAY()), 2, 2)) - 1"),-0.14689265536723162)</f>
        <v/>
      </c>
      <c r="J79" s="26">
        <f>IFERROR(__xludf.DUMMYFUNCTION("((GOOGLEFINANCE(A79, ""price"") / INDEX(GOOGLEFINANCE(A79, ""close"", DATE(2026,2,20)), 2, 2)) - 1 )
"),0.0016583747927030323)</f>
        <v/>
      </c>
      <c r="X79" s="56" t="n">
        <v>42</v>
      </c>
      <c r="Y79" s="56" t="n">
        <v>35</v>
      </c>
      <c r="Z79" s="56" t="n">
        <v>65</v>
      </c>
      <c r="AA79" s="56" t="n">
        <v>60</v>
      </c>
      <c r="AB79" s="56" t="n">
        <v>60</v>
      </c>
      <c r="AC79" s="57" t="inlineStr">
        <is>
          <t>COUR's momentum is weak but slightly better than others with AI Education theme gaining traction. Moderate social buzz from a known KOL supports interest. Risk is moderate given volatility and sector uncertainty.</t>
        </is>
      </c>
    </row>
    <row r="80">
      <c r="A80" s="23" t="inlineStr">
        <is>
          <t>G</t>
        </is>
      </c>
      <c r="H80" s="26">
        <f>IFERROR(__xludf.DUMMYFUNCTION("((GOOGLEFINANCE(A80, ""price"") / INDEX(GOOGLEFINANCE(A80, ""close"", TODAY()-7), 2, 2)) - 1 )
"),-0.06265296133137543)</f>
        <v/>
      </c>
      <c r="I80" s="26">
        <f>IFERROR(__xludf.DUMMYFUNCTION("(GOOGLEFINANCE(A80, ""price"") / INDEX(GOOGLEFINANCE(A80, ""close"", DATE(YEAR(TODAY()), 1, 1), TODAY()), 2, 2)) - 1"),-0.16575909387932908)</f>
        <v/>
      </c>
      <c r="J80" s="26">
        <f>IFERROR(__xludf.DUMMYFUNCTION("((GOOGLEFINANCE(A80, ""price"") / INDEX(GOOGLEFINANCE(A80, ""close"", DATE(2026,2,20)), 2, 2)) - 1 )
"),-0.016182892370922186)</f>
        <v/>
      </c>
      <c r="X80" s="56" t="n">
        <v>30</v>
      </c>
      <c r="Y80" s="56" t="n">
        <v>28</v>
      </c>
      <c r="Z80" s="56" t="n">
        <v>20</v>
      </c>
      <c r="AA80" s="56" t="n">
        <v>60</v>
      </c>
      <c r="AB80" s="56" t="n">
        <v>20</v>
      </c>
      <c r="AC80" s="57" t="inlineStr">
        <is>
          <t>G lacks a clear thematic play and shows weak momentum. No KOL backing results in low social buzz. Risk is moderate due to volatility but overall attractiveness is low.</t>
        </is>
      </c>
    </row>
    <row r="81">
      <c r="A81" s="23" t="inlineStr">
        <is>
          <t>INOD</t>
        </is>
      </c>
      <c r="B81" s="23" t="inlineStr">
        <is>
          <t>AI Data</t>
        </is>
      </c>
      <c r="C81" s="4" t="inlineStr">
        <is>
          <t>https://x.com/ArtanisTheGreat</t>
        </is>
      </c>
      <c r="D81" s="4" t="inlineStr">
        <is>
          <t>https://x.com/ArtanisTheGreat/status/2010465037174050986</t>
        </is>
      </c>
      <c r="E81" s="40" t="n">
        <v>46033</v>
      </c>
      <c r="G81" s="4" t="inlineStr">
        <is>
          <t>https://x.com/ArtanisTheGreat/status/2010465037174050986</t>
        </is>
      </c>
      <c r="H81" s="26">
        <f>IFERROR(__xludf.DUMMYFUNCTION("((GOOGLEFINANCE(A81, ""price"") / INDEX(GOOGLEFINANCE(A81, ""close"", TODAY()-7), 2, 2)) - 1 )
"),-0.06593406593406592)</f>
        <v/>
      </c>
      <c r="I81" s="26">
        <f>IFERROR(__xludf.DUMMYFUNCTION("(GOOGLEFINANCE(A81, ""price"") / INDEX(GOOGLEFINANCE(A81, ""close"", DATE(YEAR(TODAY()), 1, 1), TODAY()), 2, 2)) - 1"),-0.1979618795999245)</f>
        <v/>
      </c>
      <c r="J81" s="26">
        <f>IFERROR(__xludf.DUMMYFUNCTION("((GOOGLEFINANCE(A81, ""price"") / INDEX(GOOGLEFINANCE(A81, ""close"", DATE(2026,2,20)), 2, 2)) - 1 )
"),-0.051762605979473464)</f>
        <v/>
      </c>
      <c r="X81" s="56" t="n">
        <v>38</v>
      </c>
      <c r="Y81" s="56" t="n">
        <v>27</v>
      </c>
      <c r="Z81" s="56" t="n">
        <v>70</v>
      </c>
      <c r="AA81" s="56" t="n">
        <v>70</v>
      </c>
      <c r="AB81" s="56" t="n">
        <v>50</v>
      </c>
      <c r="AC81" s="57" t="inlineStr">
        <is>
          <t>INOD is tied to AI Data, a strong theme, but suffers from poor momentum and high volatility. Moderate social buzz from a KOL helps but risk remains high.</t>
        </is>
      </c>
    </row>
    <row r="82">
      <c r="A82" s="23" t="inlineStr">
        <is>
          <t>FIGR</t>
        </is>
      </c>
      <c r="B82" s="23" t="inlineStr">
        <is>
          <t>RWA</t>
        </is>
      </c>
      <c r="C82" s="5" t="inlineStr">
        <is>
          <t>https://x.com/Venu_7_</t>
        </is>
      </c>
      <c r="D82" s="5" t="inlineStr">
        <is>
          <t>https://x.com/Venu_7_/status/1989768181884621023</t>
        </is>
      </c>
      <c r="E82" s="39" t="n">
        <v>45977</v>
      </c>
      <c r="F82" s="4" t="inlineStr">
        <is>
          <t>https://x.com/matthew_sigel/status/1965335679170179466</t>
        </is>
      </c>
      <c r="G82" s="5" t="inlineStr">
        <is>
          <t>https://x.com/matthew_sigel/status/1965335679170179466</t>
        </is>
      </c>
      <c r="H82" s="26">
        <f>IFERROR(__xludf.DUMMYFUNCTION("((GOOGLEFINANCE(A82, ""price"") / INDEX(GOOGLEFINANCE(A82, ""close"", TODAY()-7), 2, 2)) - 1 )
"),0.07444852941176472)</f>
        <v/>
      </c>
      <c r="I82" s="26">
        <f>IFERROR(__xludf.DUMMYFUNCTION("(GOOGLEFINANCE(A82, ""price"") / INDEX(GOOGLEFINANCE(A82, ""close"", DATE(YEAR(TODAY()), 1, 1), TODAY()), 2, 2)) - 1"),-0.19821673525377237)</f>
        <v/>
      </c>
      <c r="J82" s="26">
        <f>IFERROR(__xludf.DUMMYFUNCTION("((GOOGLEFINANCE(A82, ""price"") / INDEX(GOOGLEFINANCE(A82, ""close"", DATE(2026,2,20)), 2, 2)) - 1 )
"),0.20432692307692313)</f>
        <v/>
      </c>
      <c r="X82" s="56" t="n">
        <v>55</v>
      </c>
      <c r="Y82" s="56" t="n">
        <v>65</v>
      </c>
      <c r="Z82" s="56" t="n">
        <v>75</v>
      </c>
      <c r="AA82" s="56" t="n">
        <v>60</v>
      </c>
      <c r="AB82" s="56" t="n">
        <v>75</v>
      </c>
      <c r="AC82" s="57" t="inlineStr">
        <is>
          <t>FIGR shows strong recent momentum despite negative YTD, with a relevant RWA theme in fintech &amp; crypto. High social buzz from multiple KOLs boosts attractiveness. Risk is moderate given volatility.</t>
        </is>
      </c>
    </row>
    <row r="83">
      <c r="A83" s="23" t="inlineStr">
        <is>
          <t>CHYM</t>
        </is>
      </c>
      <c r="B83" s="23" t="inlineStr">
        <is>
          <t>Neobanking</t>
        </is>
      </c>
      <c r="C83" s="4" t="inlineStr">
        <is>
          <t>https://x.com/P14Capital</t>
        </is>
      </c>
      <c r="D83" s="4" t="inlineStr">
        <is>
          <t>https://x.com/P14Capital/status/2010084282535153667</t>
        </is>
      </c>
      <c r="E83" s="40" t="n">
        <v>46032</v>
      </c>
      <c r="F83" s="5" t="inlineStr">
        <is>
          <t>https://x.com/LaMonicaBuzz</t>
        </is>
      </c>
      <c r="G83" s="4" t="inlineStr">
        <is>
          <t>https://x.com/P14Capital/status/2010084282535153667</t>
        </is>
      </c>
      <c r="H83" s="26">
        <f>IFERROR(__xludf.DUMMYFUNCTION("((GOOGLEFINANCE(A83, ""price"") / INDEX(GOOGLEFINANCE(A83, ""close"", TODAY()-7), 2, 2)) - 1 )
"),-0.08926204153778172)</f>
        <v/>
      </c>
      <c r="I83" s="26">
        <f>IFERROR(__xludf.DUMMYFUNCTION("(GOOGLEFINANCE(A83, ""price"") / INDEX(GOOGLEFINANCE(A83, ""close"", DATE(YEAR(TODAY()), 1, 1), TODAY()), 2, 2)) - 1"),-0.21931818181818175)</f>
        <v/>
      </c>
      <c r="J83" s="26">
        <f>IFERROR(__xludf.DUMMYFUNCTION("((GOOGLEFINANCE(A83, ""price"") / INDEX(GOOGLEFINANCE(A83, ""close"", DATE(2026,2,20)), 2, 2)) - 1 )
"),-0.01434720229555242)</f>
        <v/>
      </c>
      <c r="X83" s="56" t="n">
        <v>35</v>
      </c>
      <c r="Y83" s="56" t="n">
        <v>22</v>
      </c>
      <c r="Z83" s="56" t="n">
        <v>50</v>
      </c>
      <c r="AA83" s="56" t="n">
        <v>70</v>
      </c>
      <c r="AB83" s="56" t="n">
        <v>60</v>
      </c>
      <c r="AC83" s="57" t="inlineStr">
        <is>
          <t>CHYM's neobanking theme has moderate relevance but momentum is weak and risk is high due to volatility. Social buzz is decent from KOLs but overall score is low.</t>
        </is>
      </c>
    </row>
    <row r="84">
      <c r="A84" s="23" t="inlineStr">
        <is>
          <t>RXRX</t>
        </is>
      </c>
      <c r="B84" s="23" t="inlineStr">
        <is>
          <t>AI Medicine</t>
        </is>
      </c>
      <c r="C84" s="4" t="inlineStr">
        <is>
          <t>https://x.com/JKeynesAlpha</t>
        </is>
      </c>
      <c r="D84" s="4" t="inlineStr">
        <is>
          <t>https://x.com/JKeynesAlpha/status/1972024013225709643</t>
        </is>
      </c>
      <c r="E84" s="40" t="n">
        <v>45927</v>
      </c>
      <c r="G84" s="4" t="inlineStr">
        <is>
          <t>https://x.com/JKeynesAlpha/status/1972024013225709643</t>
        </is>
      </c>
      <c r="H84" s="26">
        <f>IFERROR(__xludf.DUMMYFUNCTION("((GOOGLEFINANCE(A84, ""price"") / INDEX(GOOGLEFINANCE(A84, ""close"", TODAY()-7), 2, 2)) - 1 )
"),-0.02564102564102555)</f>
        <v/>
      </c>
      <c r="I84" s="26">
        <f>IFERROR(__xludf.DUMMYFUNCTION("(GOOGLEFINANCE(A84, ""price"") / INDEX(GOOGLEFINANCE(A84, ""close"", DATE(YEAR(TODAY()), 1, 1), TODAY()), 2, 2)) - 1"),-0.18571428571428572)</f>
        <v/>
      </c>
      <c r="J84" s="26">
        <f>IFERROR(__xludf.DUMMYFUNCTION("((GOOGLEFINANCE(A84, ""price"") / INDEX(GOOGLEFINANCE(A84, ""close"", DATE(2026,2,20)), 2, 2)) - 1 )
"),0.0)</f>
        <v/>
      </c>
      <c r="X84" s="56" t="n">
        <v>40</v>
      </c>
      <c r="Y84" s="56" t="n">
        <v>33</v>
      </c>
      <c r="Z84" s="56" t="n">
        <v>70</v>
      </c>
      <c r="AA84" s="56" t="n">
        <v>65</v>
      </c>
      <c r="AB84" s="56" t="n">
        <v>50</v>
      </c>
      <c r="AC84" s="57" t="inlineStr">
        <is>
          <t>RXRX benefits from the AI Medicine theme, which is strong and relevant. Momentum is weak but steady. Moderate social buzz and risk due to biotech volatility.</t>
        </is>
      </c>
    </row>
    <row r="85">
      <c r="A85" s="23" t="inlineStr">
        <is>
          <t>NB</t>
        </is>
      </c>
      <c r="B85" s="23" t="inlineStr">
        <is>
          <t>Rare Earth</t>
        </is>
      </c>
      <c r="C85" s="4" t="inlineStr">
        <is>
          <t>https://x.com/thenewmoney_tnm</t>
        </is>
      </c>
      <c r="D85" s="5" t="inlineStr">
        <is>
          <t>https://x.com/thenewmoney_tnm/status/1864140636661928255?s=20</t>
        </is>
      </c>
      <c r="E85" s="40" t="n">
        <v>45630</v>
      </c>
      <c r="F85" s="4" t="inlineStr">
        <is>
          <t>https://x.com/thenewmoney_tnm</t>
        </is>
      </c>
      <c r="H85" s="26">
        <f>IFERROR(__xludf.DUMMYFUNCTION("((GOOGLEFINANCE(A85, ""price"") / INDEX(GOOGLEFINANCE(A85, ""close"", TODAY()-7), 2, 2)) - 1 )
"),-0.004210526315789331)</f>
        <v/>
      </c>
      <c r="I85" s="26">
        <f>IFERROR(__xludf.DUMMYFUNCTION("(GOOGLEFINANCE(A85, ""price"") / INDEX(GOOGLEFINANCE(A85, ""close"", DATE(YEAR(TODAY()), 1, 1), TODAY()), 2, 2)) - 1"),-0.20504201680672263)</f>
        <v/>
      </c>
      <c r="J85" s="26">
        <f>IFERROR(__xludf.DUMMYFUNCTION("((GOOGLEFINANCE(A85, ""price"") / INDEX(GOOGLEFINANCE(A85, ""close"", DATE(2026,2,20)), 2, 2)) - 1 )
"),-0.11423220973782766)</f>
        <v/>
      </c>
      <c r="X85" s="56" t="n">
        <v>32</v>
      </c>
      <c r="Y85" s="56" t="n">
        <v>40</v>
      </c>
      <c r="Z85" s="56" t="n">
        <v>55</v>
      </c>
      <c r="AA85" s="56" t="n">
        <v>65</v>
      </c>
      <c r="AB85" s="56" t="n">
        <v>55</v>
      </c>
      <c r="AC85" s="57" t="inlineStr">
        <is>
          <t>NB's rare earth theme is niche but important. Momentum is weak and risk moderate. Social buzz is moderate due to KOL presence.</t>
        </is>
      </c>
    </row>
    <row r="86">
      <c r="A86" s="23" t="inlineStr">
        <is>
          <t>DNA</t>
        </is>
      </c>
      <c r="H86" s="26">
        <f>IFERROR(__xludf.DUMMYFUNCTION("((GOOGLEFINANCE(A86, ""price"") / INDEX(GOOGLEFINANCE(A86, ""close"", TODAY()-7), 2, 2)) - 1 )
"),0.02874432677760952)</f>
        <v/>
      </c>
      <c r="I86" s="26">
        <f>IFERROR(__xludf.DUMMYFUNCTION("(GOOGLEFINANCE(A86, ""price"") / INDEX(GOOGLEFINANCE(A86, ""close"", DATE(YEAR(TODAY()), 1, 1), TODAY()), 2, 2)) - 1"),-0.2183908045977011)</f>
        <v/>
      </c>
      <c r="J86" s="26">
        <f>IFERROR(__xludf.DUMMYFUNCTION("((GOOGLEFINANCE(A86, ""price"") / INDEX(GOOGLEFINANCE(A86, ""close"", DATE(2026,2,20)), 2, 2)) - 1 )
"),-0.2624728850325381)</f>
        <v/>
      </c>
      <c r="X86" s="56" t="n">
        <v>28</v>
      </c>
      <c r="Y86" s="56" t="n">
        <v>45</v>
      </c>
      <c r="Z86" s="56" t="n">
        <v>20</v>
      </c>
      <c r="AA86" s="56" t="n">
        <v>70</v>
      </c>
      <c r="AB86" s="56" t="n">
        <v>20</v>
      </c>
      <c r="AC86" s="57" t="inlineStr">
        <is>
          <t>DNA shows some positive momentum but lacks a clear thematic play and social buzz. High risk due to volatility lowers attractiveness.</t>
        </is>
      </c>
    </row>
    <row r="87">
      <c r="A87" s="23" t="inlineStr">
        <is>
          <t>OKLO</t>
        </is>
      </c>
      <c r="B87" s="23" t="inlineStr">
        <is>
          <t>SMR Nuclear</t>
        </is>
      </c>
      <c r="C87" s="4" t="inlineStr">
        <is>
          <t>https://x.com/EliteOptions2</t>
        </is>
      </c>
      <c r="D87" s="4" t="inlineStr">
        <is>
          <t>https://x.com/EliteOptions2/status/1876807289941774577</t>
        </is>
      </c>
      <c r="E87" s="40" t="n">
        <v>45665</v>
      </c>
      <c r="F87" s="4" t="inlineStr">
        <is>
          <t>https://x.com/Jake__Wujastyk</t>
        </is>
      </c>
      <c r="G87" s="4" t="inlineStr">
        <is>
          <t>https://x.com/EliteOptions2/status/1968113949968048229</t>
        </is>
      </c>
      <c r="H87" s="26">
        <f>IFERROR(__xludf.DUMMYFUNCTION("((GOOGLEFINANCE(A87, ""price"") / INDEX(GOOGLEFINANCE(A87, ""close"", TODAY()-7), 2, 2)) - 1 )
"),-0.055195856264163234)</f>
        <v/>
      </c>
      <c r="I87" s="26">
        <f>IFERROR(__xludf.DUMMYFUNCTION("(GOOGLEFINANCE(A87, ""price"") / INDEX(GOOGLEFINANCE(A87, ""close"", DATE(YEAR(TODAY()), 1, 1), TODAY()), 2, 2)) - 1"),-0.24974293059125963)</f>
        <v/>
      </c>
      <c r="J87" s="26">
        <f>IFERROR(__xludf.DUMMYFUNCTION("((GOOGLEFINANCE(A87, ""price"") / INDEX(GOOGLEFINANCE(A87, ""close"", DATE(2026,2,20)), 2, 2)) - 1 )
"),-0.08553971486761713)</f>
        <v/>
      </c>
      <c r="X87" s="56" t="n">
        <v>30</v>
      </c>
      <c r="Y87" s="56" t="n">
        <v>25</v>
      </c>
      <c r="Z87" s="56" t="n">
        <v>60</v>
      </c>
      <c r="AA87" s="56" t="n">
        <v>70</v>
      </c>
      <c r="AB87" s="56" t="n">
        <v>50</v>
      </c>
      <c r="AC87" s="57" t="inlineStr">
        <is>
          <t>OKLO's SMR Nuclear theme is relevant but niche. Momentum is weak with high risk. Moderate social buzz from KOLs provides some support.</t>
        </is>
      </c>
    </row>
    <row r="88">
      <c r="A88" s="23" t="inlineStr">
        <is>
          <t>SYM</t>
        </is>
      </c>
      <c r="B88" s="23" t="inlineStr">
        <is>
          <t>Robotics</t>
        </is>
      </c>
      <c r="C88" s="4" t="inlineStr">
        <is>
          <t>https://x.com/imapedestrian</t>
        </is>
      </c>
      <c r="D88" s="4" t="inlineStr">
        <is>
          <t>https://x.com/imapedestrian/status/1881806755690401827</t>
        </is>
      </c>
      <c r="E88" s="40" t="n">
        <v>45679</v>
      </c>
      <c r="F88" s="5" t="inlineStr">
        <is>
          <t>https://x.com/crux_capital_</t>
        </is>
      </c>
      <c r="G88" s="23" t="n"/>
      <c r="H88" s="26">
        <f>IFERROR(__xludf.DUMMYFUNCTION("((GOOGLEFINANCE(A88, ""price"") / INDEX(GOOGLEFINANCE(A88, ""close"", TODAY()-7), 2, 2)) - 1 )
"),-0.016122611464968184)</f>
        <v/>
      </c>
      <c r="I88" s="26">
        <f>IFERROR(__xludf.DUMMYFUNCTION("(GOOGLEFINANCE(A88, ""price"") / INDEX(GOOGLEFINANCE(A88, ""close"", DATE(YEAR(TODAY()), 1, 1), TODAY()), 2, 2)) - 1"),-0.23801449051950063)</f>
        <v/>
      </c>
      <c r="J88" s="26">
        <f>IFERROR(__xludf.DUMMYFUNCTION("((GOOGLEFINANCE(A88, ""price"") / INDEX(GOOGLEFINANCE(A88, ""close"", DATE(2026,2,20)), 2, 2)) - 1 )
"),-0.08122676579925647)</f>
        <v/>
      </c>
      <c r="X88" s="56" t="n">
        <v>30</v>
      </c>
      <c r="Y88" s="56" t="n">
        <v>35</v>
      </c>
      <c r="Z88" s="56" t="n">
        <v>65</v>
      </c>
      <c r="AA88" s="56" t="n">
        <v>70</v>
      </c>
      <c r="AB88" s="56" t="n">
        <v>55</v>
      </c>
      <c r="AC88" s="57" t="inlineStr">
        <is>
          <t>SYM's robotics theme is relevant but momentum is weak and risk high. Social buzz is moderate due to KOL presence.</t>
        </is>
      </c>
    </row>
    <row r="89">
      <c r="A89" s="23" t="inlineStr">
        <is>
          <t>DARE</t>
        </is>
      </c>
      <c r="B89" s="23" t="inlineStr">
        <is>
          <t>Healthcare</t>
        </is>
      </c>
      <c r="C89" s="4" t="inlineStr">
        <is>
          <t>https://x.com/TacticzH</t>
        </is>
      </c>
      <c r="D89" s="4" t="inlineStr">
        <is>
          <t>https://x.com/TacticzH/status/1974123940210524455</t>
        </is>
      </c>
      <c r="E89" s="40" t="n">
        <v>45933</v>
      </c>
      <c r="F89" s="4" t="inlineStr">
        <is>
          <t>https://x.com/TacticzH</t>
        </is>
      </c>
      <c r="G89" s="4" t="inlineStr">
        <is>
          <t>https://x.com/TacticzH/status/1974123940210524455</t>
        </is>
      </c>
      <c r="H89" s="26">
        <f>IFERROR(__xludf.DUMMYFUNCTION("((GOOGLEFINANCE(A89, ""price"") / INDEX(GOOGLEFINANCE(A89, ""close"", TODAY()-7), 2, 2)) - 1 )
"),-0.06535947712418311)</f>
        <v/>
      </c>
      <c r="I89" s="26">
        <f>IFERROR(__xludf.DUMMYFUNCTION("(GOOGLEFINANCE(A89, ""price"") / INDEX(GOOGLEFINANCE(A89, ""close"", DATE(YEAR(TODAY()), 1, 1), TODAY()), 2, 2)) - 1"),-0.2666666666666667)</f>
        <v/>
      </c>
      <c r="J89" s="26">
        <f>IFERROR(__xludf.DUMMYFUNCTION("((GOOGLEFINANCE(A89, ""price"") / INDEX(GOOGLEFINANCE(A89, ""close"", DATE(2026,2,20)), 2, 2)) - 1 )
"),-0.1333333333333333)</f>
        <v/>
      </c>
      <c r="X89" s="56" t="n">
        <v>25</v>
      </c>
      <c r="Y89" s="56" t="n">
        <v>20</v>
      </c>
      <c r="Z89" s="56" t="n">
        <v>50</v>
      </c>
      <c r="AA89" s="56" t="n">
        <v>75</v>
      </c>
      <c r="AB89" s="56" t="n">
        <v>50</v>
      </c>
      <c r="AC89" s="57" t="inlineStr">
        <is>
          <t>DARE's healthcare theme is broad but momentum is poor with high risk. Social buzz is moderate but insufficient to offset negatives.</t>
        </is>
      </c>
    </row>
    <row r="90">
      <c r="A90" s="23" t="inlineStr">
        <is>
          <t>EVLV</t>
        </is>
      </c>
      <c r="B90" s="23" t="inlineStr">
        <is>
          <t>AI Detector</t>
        </is>
      </c>
      <c r="C90" s="4" t="inlineStr">
        <is>
          <t>https://x.com/Ron_Trades</t>
        </is>
      </c>
      <c r="D90" s="4" t="inlineStr">
        <is>
          <t>https://x.com/Ron_Trades/status/2010790254589198352</t>
        </is>
      </c>
      <c r="E90" s="40" t="n">
        <v>46034</v>
      </c>
      <c r="G90" s="4" t="inlineStr">
        <is>
          <t>https://x.com/Ron_Trades/status/2010790254589198352</t>
        </is>
      </c>
      <c r="H90" s="26">
        <f>IFERROR(__xludf.DUMMYFUNCTION("((GOOGLEFINANCE(A90, ""price"") / INDEX(GOOGLEFINANCE(A90, ""close"", TODAY()-7), 2, 2)) - 1 )
"),-0.017307692307692246)</f>
        <v/>
      </c>
      <c r="I90" s="26">
        <f>IFERROR(__xludf.DUMMYFUNCTION("(GOOGLEFINANCE(A90, ""price"") / INDEX(GOOGLEFINANCE(A90, ""close"", DATE(YEAR(TODAY()), 1, 1), TODAY()), 2, 2)) - 1"),-0.23731343283582085)</f>
        <v/>
      </c>
      <c r="J90" s="26">
        <f>IFERROR(__xludf.DUMMYFUNCTION("((GOOGLEFINANCE(A90, ""price"") / INDEX(GOOGLEFINANCE(A90, ""close"", DATE(2026,2,20)), 2, 2)) - 1 )
"),0.015904572564612307)</f>
        <v/>
      </c>
      <c r="X90" s="56" t="n">
        <v>28</v>
      </c>
      <c r="Y90" s="56" t="n">
        <v>30</v>
      </c>
      <c r="Z90" s="56" t="n">
        <v>65</v>
      </c>
      <c r="AA90" s="56" t="n">
        <v>70</v>
      </c>
      <c r="AB90" s="56" t="n">
        <v>40</v>
      </c>
      <c r="AC90" s="57" t="inlineStr">
        <is>
          <t>EVLV's AI Detector theme is relevant but momentum is weak and risk high. Social buzz is limited, reducing overall attractiveness.</t>
        </is>
      </c>
    </row>
    <row r="91">
      <c r="A91" s="23" t="inlineStr">
        <is>
          <t>PATH</t>
        </is>
      </c>
      <c r="B91" s="23" t="inlineStr">
        <is>
          <t>AI Agent</t>
        </is>
      </c>
      <c r="C91" s="4" t="inlineStr">
        <is>
          <t>https://x.com/Venu_7_</t>
        </is>
      </c>
      <c r="D91" s="4" t="inlineStr">
        <is>
          <t>https://x.com/Venu_7_/status/1982459975210590675</t>
        </is>
      </c>
      <c r="E91" s="39" t="n">
        <v>45956</v>
      </c>
      <c r="F91" s="4" t="inlineStr">
        <is>
          <t>https://x.com/RedDogT3</t>
        </is>
      </c>
      <c r="G91" s="4" t="inlineStr">
        <is>
          <t>https://x.com/Venu_7_/status/1982459975210590675</t>
        </is>
      </c>
      <c r="H91" s="26">
        <f>IFERROR(__xludf.DUMMYFUNCTION("((GOOGLEFINANCE(A91, ""price"") / INDEX(GOOGLEFINANCE(A91, ""close"", TODAY()-7), 2, 2)) - 1 )
"),-0.03258145363408527)</f>
        <v/>
      </c>
      <c r="I91" s="26">
        <f>IFERROR(__xludf.DUMMYFUNCTION("(GOOGLEFINANCE(A91, ""price"") / INDEX(GOOGLEFINANCE(A91, ""close"", DATE(YEAR(TODAY()), 1, 1), TODAY()), 2, 2)) - 1"),-0.27078085642317384)</f>
        <v/>
      </c>
      <c r="J91" s="26">
        <f>IFERROR(__xludf.DUMMYFUNCTION("((GOOGLEFINANCE(A91, ""price"") / INDEX(GOOGLEFINANCE(A91, ""close"", DATE(2026,2,20)), 2, 2)) - 1 )
"),0.07222222222222219)</f>
        <v/>
      </c>
      <c r="X91" s="56" t="n">
        <v>27</v>
      </c>
      <c r="Y91" s="56" t="n">
        <v>28</v>
      </c>
      <c r="Z91" s="56" t="n">
        <v>70</v>
      </c>
      <c r="AA91" s="56" t="n">
        <v>75</v>
      </c>
      <c r="AB91" s="56" t="n">
        <v>60</v>
      </c>
      <c r="AC91" s="57" t="inlineStr">
        <is>
          <t>PATH has a strong AI Agent theme and decent social buzz but suffers from poor momentum and very high risk, limiting investment appeal.</t>
        </is>
      </c>
    </row>
    <row r="92">
      <c r="A92" s="23" t="inlineStr">
        <is>
          <t>GEMI</t>
        </is>
      </c>
      <c r="B92" s="23" t="inlineStr">
        <is>
          <t>Crypto</t>
        </is>
      </c>
      <c r="C92" s="5" t="inlineStr">
        <is>
          <t>https://x.com/LizClaman</t>
        </is>
      </c>
      <c r="D92" s="4" t="inlineStr">
        <is>
          <t>https://x.com/LizClaman/status/1966530494159368440</t>
        </is>
      </c>
      <c r="E92" s="40" t="n">
        <v>45912</v>
      </c>
      <c r="F92" s="4" t="inlineStr">
        <is>
          <t>https://x.com/TipRanks</t>
        </is>
      </c>
      <c r="G92" s="4" t="inlineStr">
        <is>
          <t>https://x.com/LaMonicaBuzz/status/1975635080484954184</t>
        </is>
      </c>
      <c r="H92" s="26">
        <f>IFERROR(__xludf.DUMMYFUNCTION("((GOOGLEFINANCE(A92, ""price"") / INDEX(GOOGLEFINANCE(A92, ""close"", TODAY()-7), 2, 2)) - 1 )
"),-0.10907003444316887)</f>
        <v/>
      </c>
      <c r="I92" s="26">
        <f>IFERROR(__xludf.DUMMYFUNCTION("(GOOGLEFINANCE(A92, ""price"") / INDEX(GOOGLEFINANCE(A92, ""close"", DATE(YEAR(TODAY()), 1, 1), TODAY()), 2, 2)) - 1"),-0.2509652509652509)</f>
        <v/>
      </c>
      <c r="J92" s="26">
        <f>IFERROR(__xludf.DUMMYFUNCTION("((GOOGLEFINANCE(A92, ""price"") / INDEX(GOOGLEFINANCE(A92, ""close"", DATE(2026,2,20)), 2, 2)) - 1 )
"),0.33333333333333326)</f>
        <v/>
      </c>
      <c r="X92" s="56" t="n">
        <v>45</v>
      </c>
      <c r="Y92" s="56" t="n">
        <v>30</v>
      </c>
      <c r="Z92" s="56" t="n">
        <v>75</v>
      </c>
      <c r="AA92" s="56" t="n">
        <v>80</v>
      </c>
      <c r="AB92" s="56" t="n">
        <v>70</v>
      </c>
      <c r="AC92" s="57" t="inlineStr">
        <is>
          <t>GEMI operates in the crypto theme, which remains relevant but has seen negative momentum YTD and last week. The crypto sector's volatility contributes to a high risk score. The presence of notable KOLs provides decent social buzz.</t>
        </is>
      </c>
    </row>
    <row r="93">
      <c r="A93" s="23" t="inlineStr">
        <is>
          <t>SMR</t>
        </is>
      </c>
      <c r="B93" s="23" t="inlineStr">
        <is>
          <t>SMR Nuclear</t>
        </is>
      </c>
      <c r="C93" s="4" t="inlineStr">
        <is>
          <t>https://x.com/InvestmentGuru_</t>
        </is>
      </c>
      <c r="D93" s="4" t="inlineStr">
        <is>
          <t>https://x.com/InvestmentGuru_/status/1847667190582960293</t>
        </is>
      </c>
      <c r="E93" s="39" t="n">
        <v>45584</v>
      </c>
      <c r="F93" s="4" t="inlineStr">
        <is>
          <t>https://x.com/MMatters22596</t>
        </is>
      </c>
      <c r="G93" s="23" t="n"/>
      <c r="H93" s="26">
        <f>IFERROR(__xludf.DUMMYFUNCTION("((GOOGLEFINANCE(A93, ""price"") / INDEX(GOOGLEFINANCE(A93, ""close"", TODAY()-7), 2, 2)) - 1 )
"),-0.02960526315789469)</f>
        <v/>
      </c>
      <c r="I93" s="26">
        <f>IFERROR(__xludf.DUMMYFUNCTION("(GOOGLEFINANCE(A93, ""price"") / INDEX(GOOGLEFINANCE(A93, ""close"", DATE(YEAR(TODAY()), 1, 1), TODAY()), 2, 2)) - 1"),-0.2765174739423666)</f>
        <v/>
      </c>
      <c r="J93" s="26">
        <f>IFERROR(__xludf.DUMMYFUNCTION("((GOOGLEFINANCE(A93, ""price"") / INDEX(GOOGLEFINANCE(A93, ""close"", DATE(2026,2,20)), 2, 2)) - 1 )
"),-0.12202380952380942)</f>
        <v/>
      </c>
      <c r="X93" s="56" t="n">
        <v>35</v>
      </c>
      <c r="Y93" s="56" t="n">
        <v>40</v>
      </c>
      <c r="Z93" s="56" t="n">
        <v>65</v>
      </c>
      <c r="AA93" s="56" t="n">
        <v>70</v>
      </c>
      <c r="AB93" s="56" t="n">
        <v>60</v>
      </c>
      <c r="AC93" s="57" t="inlineStr">
        <is>
          <t>SMR Nuclear is a niche theme with moderate relevance but weak recent momentum and negative YTD performance. Moderate risk due to volatility and moderate social buzz from KOLs.</t>
        </is>
      </c>
    </row>
    <row r="94">
      <c r="A94" s="23" t="inlineStr">
        <is>
          <t>CERT</t>
        </is>
      </c>
      <c r="B94" s="23" t="inlineStr">
        <is>
          <t>AI Medicine</t>
        </is>
      </c>
      <c r="C94" s="4" t="inlineStr">
        <is>
          <t>https://x.com/TacticzH</t>
        </is>
      </c>
      <c r="E94" s="40" t="n">
        <v>45933</v>
      </c>
      <c r="H94" s="26">
        <f>IFERROR(__xludf.DUMMYFUNCTION("((GOOGLEFINANCE(A94, ""price"") / INDEX(GOOGLEFINANCE(A94, ""close"", TODAY()-7), 2, 2)) - 1 )
"),-0.05539772727272718)</f>
        <v/>
      </c>
      <c r="I94" s="26">
        <f>IFERROR(__xludf.DUMMYFUNCTION("(GOOGLEFINANCE(A94, ""price"") / INDEX(GOOGLEFINANCE(A94, ""close"", DATE(YEAR(TODAY()), 1, 1), TODAY()), 2, 2)) - 1"),-0.23913043478260865)</f>
        <v/>
      </c>
      <c r="J94" s="26">
        <f>IFERROR(__xludf.DUMMYFUNCTION("((GOOGLEFINANCE(A94, ""price"") / INDEX(GOOGLEFINANCE(A94, ""close"", DATE(2026,2,20)), 2, 2)) - 1 )
"),0.02941176470588247)</f>
        <v/>
      </c>
      <c r="X94" s="56" t="n">
        <v>40</v>
      </c>
      <c r="Y94" s="56" t="n">
        <v>35</v>
      </c>
      <c r="Z94" s="56" t="n">
        <v>70</v>
      </c>
      <c r="AA94" s="56" t="n">
        <v>75</v>
      </c>
      <c r="AB94" s="56" t="n">
        <v>50</v>
      </c>
      <c r="AC94" s="57" t="inlineStr">
        <is>
          <t>CERT's AI Medicine theme is strong and relevant, but recent and YTD momentum is negative. Risk remains elevated due to biotech volatility. Social buzz is moderate with some KOL presence.</t>
        </is>
      </c>
    </row>
    <row r="95">
      <c r="A95" s="23" t="inlineStr">
        <is>
          <t>NVO</t>
        </is>
      </c>
      <c r="B95" s="23" t="inlineStr">
        <is>
          <t>GLP-1</t>
        </is>
      </c>
      <c r="C95" s="4" t="inlineStr">
        <is>
          <t>https://x.com/TacticzH</t>
        </is>
      </c>
      <c r="D95" s="4" t="inlineStr">
        <is>
          <t>https://x.com/TacticzH/status/1974123940210524455</t>
        </is>
      </c>
      <c r="E95" s="40" t="n">
        <v>45933</v>
      </c>
      <c r="F95" s="4" t="inlineStr">
        <is>
          <t>https://x.com/TacticzH</t>
        </is>
      </c>
      <c r="G95" s="4" t="inlineStr">
        <is>
          <t>https://x.com/TacticzH/status/1974123940210524455</t>
        </is>
      </c>
      <c r="H95" s="26">
        <f>IFERROR(__xludf.DUMMYFUNCTION("((GOOGLEFINANCE(A95, ""price"") / INDEX(GOOGLEFINANCE(A95, ""close"", TODAY()-7), 2, 2)) - 1 )
"),-0.045751633986928164)</f>
        <v/>
      </c>
      <c r="I95" s="26">
        <f>IFERROR(__xludf.DUMMYFUNCTION("(GOOGLEFINANCE(A95, ""price"") / INDEX(GOOGLEFINANCE(A95, ""close"", DATE(YEAR(TODAY()), 1, 1), TODAY()), 2, 2)) - 1"),-0.2754342431761787)</f>
        <v/>
      </c>
      <c r="J95" s="26">
        <f>IFERROR(__xludf.DUMMYFUNCTION("((GOOGLEFINANCE(A95, ""price"") / INDEX(GOOGLEFINANCE(A95, ""close"", DATE(2026,2,20)), 2, 2)) - 1 )
"),-0.1994938844369465)</f>
        <v/>
      </c>
      <c r="X95" s="56" t="n">
        <v>30</v>
      </c>
      <c r="Y95" s="56" t="n">
        <v>30</v>
      </c>
      <c r="Z95" s="56" t="n">
        <v>60</v>
      </c>
      <c r="AA95" s="56" t="n">
        <v>75</v>
      </c>
      <c r="AB95" s="56" t="n">
        <v>60</v>
      </c>
      <c r="AC95" s="57" t="inlineStr">
        <is>
          <t>NVO focuses on GLP-1, a popular biotech theme, but has poor momentum and high risk. Social buzz is moderate due to KOL backing.</t>
        </is>
      </c>
    </row>
    <row r="96">
      <c r="A96" s="23" t="inlineStr">
        <is>
          <t>IONQ</t>
        </is>
      </c>
      <c r="B96" s="23" t="inlineStr">
        <is>
          <t>Quantum Computing</t>
        </is>
      </c>
      <c r="C96" s="4" t="inlineStr">
        <is>
          <t>https://x.com/StockSavvyShay</t>
        </is>
      </c>
      <c r="D96" s="4" t="inlineStr">
        <is>
          <t>https://x.com/StockSavvyShay/status/1876979756182466757</t>
        </is>
      </c>
      <c r="E96" s="40" t="n">
        <v>45665</v>
      </c>
      <c r="F96" s="4" t="inlineStr">
        <is>
          <t>https://x.com/InvestorsLive</t>
        </is>
      </c>
      <c r="G96" s="4" t="inlineStr">
        <is>
          <t>https://x.com/QuantumBullHQ/status/1985533434035667099</t>
        </is>
      </c>
      <c r="H96" s="26">
        <f>IFERROR(__xludf.DUMMYFUNCTION("((GOOGLEFINANCE(A96, ""price"") / INDEX(GOOGLEFINANCE(A96, ""close"", TODAY()-7), 2, 2)) - 1 )
"),-0.08056872037914697)</f>
        <v/>
      </c>
      <c r="I96" s="26">
        <f>IFERROR(__xludf.DUMMYFUNCTION("(GOOGLEFINANCE(A96, ""price"") / INDEX(GOOGLEFINANCE(A96, ""close"", DATE(YEAR(TODAY()), 1, 1), TODAY()), 2, 2)) - 1"),-0.29484712422493065)</f>
        <v/>
      </c>
      <c r="J96" s="26">
        <f>IFERROR(__xludf.DUMMYFUNCTION("((GOOGLEFINANCE(A96, ""price"") / INDEX(GOOGLEFINANCE(A96, ""close"", DATE(2026,2,20)), 2, 2)) - 1 )
"),0.03385579937304062)</f>
        <v/>
      </c>
      <c r="X96" s="56" t="n">
        <v>38</v>
      </c>
      <c r="Y96" s="56" t="n">
        <v>28</v>
      </c>
      <c r="Z96" s="56" t="n">
        <v>80</v>
      </c>
      <c r="AA96" s="56" t="n">
        <v>85</v>
      </c>
      <c r="AB96" s="56" t="n">
        <v>65</v>
      </c>
      <c r="AC96" s="57" t="inlineStr">
        <is>
          <t>IONQ is in the hot Quantum Computing theme but suffers from weak momentum and high volatility. Social buzz is good with notable KOLs.</t>
        </is>
      </c>
    </row>
    <row r="97">
      <c r="A97" s="23" t="inlineStr">
        <is>
          <t>PPSI</t>
        </is>
      </c>
      <c r="B97" s="23" t="inlineStr">
        <is>
          <t>AI Energy</t>
        </is>
      </c>
      <c r="C97" s="4" t="inlineStr">
        <is>
          <t>https://x.com/xT1T00</t>
        </is>
      </c>
      <c r="D97" s="4" t="inlineStr">
        <is>
          <t>https://x.com/xT1T00/status/2011138007558988216</t>
        </is>
      </c>
      <c r="E97" s="40" t="n">
        <v>46035</v>
      </c>
      <c r="G97" s="4" t="inlineStr">
        <is>
          <t>https://x.com/xT1T00/status/2011138007558988216</t>
        </is>
      </c>
      <c r="H97" s="26">
        <f>IFERROR(__xludf.DUMMYFUNCTION("((GOOGLEFINANCE(A97, ""price"") / INDEX(GOOGLEFINANCE(A97, ""close"", TODAY()-7), 2, 2)) - 1 )
"),-0.03801169590643272)</f>
        <v/>
      </c>
      <c r="I97" s="26">
        <f>IFERROR(__xludf.DUMMYFUNCTION("(GOOGLEFINANCE(A97, ""price"") / INDEX(GOOGLEFINANCE(A97, ""close"", DATE(YEAR(TODAY()), 1, 1), TODAY()), 2, 2)) - 1"),-0.29850746268656725)</f>
        <v/>
      </c>
      <c r="J97" s="26">
        <f>IFERROR(__xludf.DUMMYFUNCTION("((GOOGLEFINANCE(A97, ""price"") / INDEX(GOOGLEFINANCE(A97, ""close"", DATE(2026,2,20)), 2, 2)) - 1 )
"),-0.13192612137203164)</f>
        <v/>
      </c>
      <c r="X97" s="56" t="n">
        <v>33</v>
      </c>
      <c r="Y97" s="56" t="n">
        <v>35</v>
      </c>
      <c r="Z97" s="56" t="n">
        <v>70</v>
      </c>
      <c r="AA97" s="56" t="n">
        <v>75</v>
      </c>
      <c r="AB97" s="56" t="n">
        <v>40</v>
      </c>
      <c r="AC97" s="57" t="inlineStr">
        <is>
          <t>PPSI's AI Energy theme is relevant but momentum and YTD performance are weak. Risk is elevated and social buzz is low due to limited KOL presence.</t>
        </is>
      </c>
    </row>
    <row r="98">
      <c r="A98" s="23" t="inlineStr">
        <is>
          <t>HIMS</t>
        </is>
      </c>
      <c r="B98" s="23" t="inlineStr">
        <is>
          <t>Healthcare</t>
        </is>
      </c>
      <c r="C98" s="4" t="inlineStr">
        <is>
          <t>https://x.com/Ashton_1nvests</t>
        </is>
      </c>
      <c r="D98" s="4" t="inlineStr">
        <is>
          <t>https://x.com/Ashton_1nvests/status/1956789123456789012</t>
        </is>
      </c>
      <c r="E98" s="40" t="n">
        <v>45884</v>
      </c>
      <c r="F98" s="4" t="inlineStr">
        <is>
          <t>https://x.com/Ashton_1nvests</t>
        </is>
      </c>
      <c r="G98" s="4" t="inlineStr">
        <is>
          <t>https://x.com/Ashton_1nvests/status/1967890123456789012</t>
        </is>
      </c>
      <c r="H98" s="26">
        <f>IFERROR(__xludf.DUMMYFUNCTION("((GOOGLEFINANCE(A98, ""price"") / INDEX(GOOGLEFINANCE(A98, ""close"", TODAY()-7), 2, 2)) - 1 )
"),0.1177797833935017)</f>
        <v/>
      </c>
      <c r="I98" s="26">
        <f>IFERROR(__xludf.DUMMYFUNCTION("(GOOGLEFINANCE(A98, ""price"") / INDEX(GOOGLEFINANCE(A98, ""close"", DATE(YEAR(TODAY()), 1, 1), TODAY()), 2, 2)) - 1"),-0.2586052080215504)</f>
        <v/>
      </c>
      <c r="J98" s="26">
        <f>IFERROR(__xludf.DUMMYFUNCTION("((GOOGLEFINANCE(A98, ""price"") / INDEX(GOOGLEFINANCE(A98, ""close"", DATE(2026,2,20)), 2, 2)) - 1 )
"),0.584772872680742)</f>
        <v/>
      </c>
      <c r="X98" s="56" t="n">
        <v>55</v>
      </c>
      <c r="Y98" s="56" t="n">
        <v>70</v>
      </c>
      <c r="Z98" s="56" t="n">
        <v>60</v>
      </c>
      <c r="AA98" s="56" t="n">
        <v>70</v>
      </c>
      <c r="AB98" s="56" t="n">
        <v>75</v>
      </c>
      <c r="AC98" s="57" t="inlineStr">
        <is>
          <t>HIMS shows strong recent momentum despite negative YTD returns. Healthcare theme is stable but less trendy. High social buzz from KOLs supports attractiveness.</t>
        </is>
      </c>
    </row>
    <row r="99">
      <c r="A99" s="23" t="inlineStr">
        <is>
          <t>HIMS</t>
        </is>
      </c>
      <c r="H99" s="26">
        <f>IFERROR(__xludf.DUMMYFUNCTION("((GOOGLEFINANCE(A99, ""price"") / INDEX(GOOGLEFINANCE(A99, ""close"", TODAY()-7), 2, 2)) - 1 )
"),0.1177797833935017)</f>
        <v/>
      </c>
      <c r="I99" s="26">
        <f>IFERROR(__xludf.DUMMYFUNCTION("(GOOGLEFINANCE(A99, ""price"") / INDEX(GOOGLEFINANCE(A99, ""close"", DATE(YEAR(TODAY()), 1, 1), TODAY()), 2, 2)) - 1"),-0.2586052080215504)</f>
        <v/>
      </c>
      <c r="X99" s="56" t="n">
        <v>55</v>
      </c>
      <c r="Y99" s="56" t="n">
        <v>70</v>
      </c>
      <c r="Z99" s="56" t="n">
        <v>60</v>
      </c>
      <c r="AA99" s="56" t="n">
        <v>70</v>
      </c>
      <c r="AB99" s="56" t="n">
        <v>75</v>
      </c>
      <c r="AC99" s="57" t="inlineStr">
        <is>
          <t>HIMS shows strong recent momentum despite negative YTD returns. Healthcare theme is stable but less trendy. High social buzz from KOLs supports attractiveness.</t>
        </is>
      </c>
    </row>
    <row r="100">
      <c r="A100" s="23" t="inlineStr">
        <is>
          <t>RGTI</t>
        </is>
      </c>
      <c r="B100" s="23" t="inlineStr">
        <is>
          <t>Quantum Computing</t>
        </is>
      </c>
      <c r="C100" s="4" t="inlineStr">
        <is>
          <t>https://x.com/StockSavvyShay</t>
        </is>
      </c>
      <c r="D100" s="4" t="inlineStr">
        <is>
          <t>https://x.com/StockSavvyShay/status/1876979756182466757</t>
        </is>
      </c>
      <c r="E100" s="40" t="n">
        <v>45665</v>
      </c>
      <c r="F100" s="4" t="inlineStr">
        <is>
          <t>https://x.com/InvestorsLive</t>
        </is>
      </c>
      <c r="G100" s="4" t="inlineStr">
        <is>
          <t>https://x.com/The_real_FredF/status/2009619374798487627</t>
        </is>
      </c>
      <c r="H100" s="26">
        <f>IFERROR(__xludf.DUMMYFUNCTION("((GOOGLEFINANCE(A100, ""price"") / INDEX(GOOGLEFINANCE(A100, ""close"", TODAY()-7), 2, 2)) - 1 )
"),-0.08124999999999993)</f>
        <v/>
      </c>
      <c r="I100" s="26">
        <f>IFERROR(__xludf.DUMMYFUNCTION("(GOOGLEFINANCE(A100, ""price"") / INDEX(GOOGLEFINANCE(A100, ""close"", DATE(YEAR(TODAY()), 1, 1), TODAY()), 2, 2)) - 1"),-0.3148305084745763)</f>
        <v/>
      </c>
      <c r="J100" s="26">
        <f>IFERROR(__xludf.DUMMYFUNCTION("((GOOGLEFINANCE(A100, ""price"") / INDEX(GOOGLEFINANCE(A100, ""close"", DATE(2026,2,20)), 2, 2)) - 1 )
"),0.015703517587939864)</f>
        <v/>
      </c>
      <c r="X100" s="56" t="n">
        <v>35</v>
      </c>
      <c r="Y100" s="56" t="n">
        <v>27</v>
      </c>
      <c r="Z100" s="56" t="n">
        <v>80</v>
      </c>
      <c r="AA100" s="56" t="n">
        <v>85</v>
      </c>
      <c r="AB100" s="56" t="n">
        <v>65</v>
      </c>
      <c r="AC100" s="57" t="inlineStr">
        <is>
          <t>RGTI is another Quantum Computing player with poor momentum and high risk. Social buzz is decent due to KOLs, but negative performance weighs on score.</t>
        </is>
      </c>
    </row>
    <row r="101">
      <c r="A101" s="23" t="inlineStr">
        <is>
          <t>RBRK</t>
        </is>
      </c>
      <c r="B101" s="23" t="inlineStr">
        <is>
          <t xml:space="preserve">Cybersecurity </t>
        </is>
      </c>
      <c r="C101" s="4" t="inlineStr">
        <is>
          <t>https://x.com/LogicalThesis</t>
        </is>
      </c>
      <c r="D101" s="4" t="inlineStr">
        <is>
          <t>https://x.com/LogicalThesis/status/2010148346544247024</t>
        </is>
      </c>
      <c r="E101" s="40" t="n">
        <v>46033</v>
      </c>
      <c r="G101" s="4" t="inlineStr">
        <is>
          <t>https://x.com/LogicalThesis/status/2010148346544247024</t>
        </is>
      </c>
      <c r="H101" s="26">
        <f>IFERROR(__xludf.DUMMYFUNCTION("((GOOGLEFINANCE(A101, ""price"") / INDEX(GOOGLEFINANCE(A101, ""close"", TODAY()-7), 2, 2)) - 1 )
"),-0.0654189260101452)</f>
        <v/>
      </c>
      <c r="I101" s="26">
        <f>IFERROR(__xludf.DUMMYFUNCTION("(GOOGLEFINANCE(A101, ""price"") / INDEX(GOOGLEFINANCE(A101, ""close"", DATE(YEAR(TODAY()), 1, 1), TODAY()), 2, 2)) - 1"),-0.2920365708228435)</f>
        <v/>
      </c>
      <c r="J101" s="26">
        <f>IFERROR(__xludf.DUMMYFUNCTION("((GOOGLEFINANCE(A101, ""price"") / INDEX(GOOGLEFINANCE(A101, ""close"", DATE(2026,2,20)), 2, 2)) - 1 )
"),0.0643426294820717)</f>
        <v/>
      </c>
      <c r="X101" s="56" t="n">
        <v>37</v>
      </c>
      <c r="Y101" s="56" t="n">
        <v>32</v>
      </c>
      <c r="Z101" s="56" t="n">
        <v>65</v>
      </c>
      <c r="AA101" s="56" t="n">
        <v>75</v>
      </c>
      <c r="AB101" s="56" t="n">
        <v>50</v>
      </c>
      <c r="AC101" s="57" t="inlineStr">
        <is>
          <t>RBRK in Cybersecurity has moderate thematic relevance but weak momentum and high risk. Social buzz is moderate with some KOL presence.</t>
        </is>
      </c>
    </row>
    <row r="102">
      <c r="A102" s="23" t="inlineStr">
        <is>
          <t>WRD</t>
        </is>
      </c>
      <c r="B102" s="23" t="inlineStr">
        <is>
          <t>Robotaxi</t>
        </is>
      </c>
      <c r="C102" s="4" t="inlineStr">
        <is>
          <t>https://x.com/meehan_anthony</t>
        </is>
      </c>
      <c r="D102" s="4" t="inlineStr">
        <is>
          <t>https://x.com/meehan_anthony/status/2011162859821060183</t>
        </is>
      </c>
      <c r="E102" s="40" t="n">
        <v>46035</v>
      </c>
      <c r="F102" s="4" t="inlineStr">
        <is>
          <t>https://x.com/garyblack00</t>
        </is>
      </c>
      <c r="G102" s="4" t="inlineStr">
        <is>
          <t>https://x.com/meehan_anthony/status/2011162859821060183</t>
        </is>
      </c>
      <c r="H102" s="26">
        <f>IFERROR(__xludf.DUMMYFUNCTION("((GOOGLEFINANCE(A102, ""price"") / INDEX(GOOGLEFINANCE(A102, ""close"", TODAY()-7), 2, 2)) - 1 )
"),0.05723370429252794)</f>
        <v/>
      </c>
      <c r="I102" s="26">
        <f>IFERROR(__xludf.DUMMYFUNCTION("(GOOGLEFINANCE(A102, ""price"") / INDEX(GOOGLEFINANCE(A102, ""close"", DATE(YEAR(TODAY()), 1, 1), TODAY()), 2, 2)) - 1"),-0.2917997870074548)</f>
        <v/>
      </c>
      <c r="J102" s="26">
        <f>IFERROR(__xludf.DUMMYFUNCTION("((GOOGLEFINANCE(A102, ""price"") / INDEX(GOOGLEFINANCE(A102, ""close"", DATE(2026,2,20)), 2, 2)) - 1 )
"),-0.06205923836389271)</f>
        <v/>
      </c>
      <c r="X102" s="56" t="n">
        <v>45</v>
      </c>
      <c r="Y102" s="56" t="n">
        <v>55</v>
      </c>
      <c r="Z102" s="56" t="n">
        <v>70</v>
      </c>
      <c r="AA102" s="56" t="n">
        <v>70</v>
      </c>
      <c r="AB102" s="56" t="n">
        <v>60</v>
      </c>
      <c r="AC102" s="57" t="inlineStr">
        <is>
          <t>WRD's Robotaxi theme is relevant and recent momentum is positive, though YTD remains negative. Risk is moderate and social buzz is supported by KOLs.</t>
        </is>
      </c>
    </row>
    <row r="103">
      <c r="A103" s="23" t="inlineStr">
        <is>
          <t>ZENA</t>
        </is>
      </c>
      <c r="B103" s="23" t="inlineStr">
        <is>
          <t>Drone</t>
        </is>
      </c>
      <c r="H103" s="26">
        <f>IFERROR(__xludf.DUMMYFUNCTION("((GOOGLEFINANCE(A103, ""price"") / INDEX(GOOGLEFINANCE(A103, ""close"", TODAY()-7), 2, 2)) - 1 )
"),-0.07203389830508466)</f>
        <v/>
      </c>
      <c r="I103" s="26">
        <f>IFERROR(__xludf.DUMMYFUNCTION("(GOOGLEFINANCE(A103, ""price"") / INDEX(GOOGLEFINANCE(A103, ""close"", DATE(YEAR(TODAY()), 1, 1), TODAY()), 2, 2)) - 1"),-0.3003194888178914)</f>
        <v/>
      </c>
      <c r="J103" s="26">
        <f>IFERROR(__xludf.DUMMYFUNCTION("((GOOGLEFINANCE(A103, ""price"") / INDEX(GOOGLEFINANCE(A103, ""close"", DATE(2026,2,20)), 2, 2)) - 1 )
"),-0.15444015444015446)</f>
        <v/>
      </c>
      <c r="X103" s="56" t="n">
        <v>30</v>
      </c>
      <c r="Y103" s="56" t="n">
        <v>25</v>
      </c>
      <c r="Z103" s="56" t="n">
        <v>60</v>
      </c>
      <c r="AA103" s="56" t="n">
        <v>80</v>
      </c>
      <c r="AB103" s="56" t="n">
        <v>30</v>
      </c>
      <c r="AC103" s="57" t="inlineStr">
        <is>
          <t>ZENA operates in the Drone theme but suffers from weak momentum and high risk. Lack of KOLs results in low social buzz.</t>
        </is>
      </c>
    </row>
    <row r="104">
      <c r="A104" s="23" t="inlineStr">
        <is>
          <t>LMND</t>
        </is>
      </c>
      <c r="B104" s="23" t="inlineStr">
        <is>
          <t>AI Insurance</t>
        </is>
      </c>
      <c r="C104" s="4" t="inlineStr">
        <is>
          <t>https://x.com/thexcapitalist</t>
        </is>
      </c>
      <c r="D104" s="4" t="inlineStr">
        <is>
          <t>https://x.com/thexcapitalist/status/1914696355911459250</t>
        </is>
      </c>
      <c r="E104" s="40" t="n">
        <v>45769</v>
      </c>
      <c r="F104" s="4" t="inlineStr">
        <is>
          <t>https://x.com/szaman</t>
        </is>
      </c>
      <c r="G104" s="4" t="inlineStr">
        <is>
          <t>https://x.com/MMMTwealth/status/1941873850611822724</t>
        </is>
      </c>
      <c r="H104" s="26">
        <f>IFERROR(__xludf.DUMMYFUNCTION("((GOOGLEFINANCE(A104, ""price"") / INDEX(GOOGLEFINANCE(A104, ""close"", TODAY()-7), 2, 2)) - 1 )
"),9.074410163338875E-4)</f>
        <v/>
      </c>
      <c r="I104" s="26">
        <f>IFERROR(__xludf.DUMMYFUNCTION("(GOOGLEFINANCE(A104, ""price"") / INDEX(GOOGLEFINANCE(A104, ""close"", DATE(YEAR(TODAY()), 1, 1), TODAY()), 2, 2)) - 1"),-0.2739599789362822)</f>
        <v/>
      </c>
      <c r="J104" s="26">
        <f>IFERROR(__xludf.DUMMYFUNCTION("((GOOGLEFINANCE(A104, ""price"") / INDEX(GOOGLEFINANCE(A104, ""close"", DATE(2026,2,20)), 2, 2)) - 1 )
"),-0.03768975745943126)</f>
        <v/>
      </c>
      <c r="X104" s="56" t="n">
        <v>38</v>
      </c>
      <c r="Y104" s="56" t="n">
        <v>40</v>
      </c>
      <c r="Z104" s="56" t="n">
        <v>70</v>
      </c>
      <c r="AA104" s="56" t="n">
        <v>70</v>
      </c>
      <c r="AB104" s="56" t="n">
        <v>60</v>
      </c>
      <c r="AC104" s="57" t="inlineStr">
        <is>
          <t>LMND's AI Insurance theme is relevant with flat recent momentum and negative YTD. Risk is moderate and social buzz is decent due to KOLs.</t>
        </is>
      </c>
    </row>
    <row r="105">
      <c r="A105" s="23" t="inlineStr">
        <is>
          <t>HROW</t>
        </is>
      </c>
      <c r="B105" s="23" t="inlineStr">
        <is>
          <t>Healthcare</t>
        </is>
      </c>
      <c r="C105" s="4" t="inlineStr">
        <is>
          <t>https://x.com/TacticzH</t>
        </is>
      </c>
      <c r="D105" s="4" t="inlineStr">
        <is>
          <t>https://x.com/TacticzH/status/1974123940210524455</t>
        </is>
      </c>
      <c r="E105" s="40" t="n">
        <v>45933</v>
      </c>
      <c r="F105" s="4" t="inlineStr">
        <is>
          <t>https://x.com/TacticzH</t>
        </is>
      </c>
      <c r="G105" s="4" t="inlineStr">
        <is>
          <t>https://x.com/TacticzH/status/1974123940210524455</t>
        </is>
      </c>
      <c r="H105" s="26">
        <f>IFERROR(__xludf.DUMMYFUNCTION("((GOOGLEFINANCE(A105, ""price"") / INDEX(GOOGLEFINANCE(A105, ""close"", TODAY()-7), 2, 2)) - 1 )
"),-0.02987197724039825)</f>
        <v/>
      </c>
      <c r="I105" s="26">
        <f>IFERROR(__xludf.DUMMYFUNCTION("(GOOGLEFINANCE(A105, ""price"") / INDEX(GOOGLEFINANCE(A105, ""close"", DATE(YEAR(TODAY()), 1, 1), TODAY()), 2, 2)) - 1"),-0.31677018633540366)</f>
        <v/>
      </c>
      <c r="J105" s="26">
        <f>IFERROR(__xludf.DUMMYFUNCTION("((GOOGLEFINANCE(A105, ""price"") / INDEX(GOOGLEFINANCE(A105, ""close"", DATE(2026,2,20)), 2, 2)) - 1 )
"),-0.34423076923076923)</f>
        <v/>
      </c>
      <c r="X105" s="56" t="n">
        <v>28</v>
      </c>
      <c r="Y105" s="56" t="n">
        <v>20</v>
      </c>
      <c r="Z105" s="56" t="n">
        <v>55</v>
      </c>
      <c r="AA105" s="56" t="n">
        <v>80</v>
      </c>
      <c r="AB105" s="56" t="n">
        <v>50</v>
      </c>
      <c r="AC105" s="57" t="inlineStr">
        <is>
          <t>HROW in Healthcare has poor momentum and high risk. Thematic relevance is moderate, supported by some KOL social buzz.</t>
        </is>
      </c>
    </row>
    <row r="106">
      <c r="A106" s="23" t="inlineStr">
        <is>
          <t>INFQ</t>
        </is>
      </c>
      <c r="B106" s="23" t="inlineStr">
        <is>
          <t>Quantum Computing</t>
        </is>
      </c>
      <c r="C106" s="4" t="inlineStr">
        <is>
          <t>https://x.com/grassosteve</t>
        </is>
      </c>
      <c r="D106" s="4" t="inlineStr">
        <is>
          <t>https://x.com/grassosteve/status/1975564511185936485</t>
        </is>
      </c>
      <c r="E106" s="39" t="n">
        <v>45937</v>
      </c>
      <c r="F106" s="4" t="inlineStr">
        <is>
          <t>https://x.com/pennycheck</t>
        </is>
      </c>
      <c r="G106" s="23" t="n"/>
      <c r="H106" s="26">
        <f>IFERROR(__xludf.DUMMYFUNCTION("((GOOGLEFINANCE(A106, ""price"") / INDEX(GOOGLEFINANCE(A106, ""close"", TODAY()-7), 2, 2)) - 1 )
"),-0.13550600343053176)</f>
        <v/>
      </c>
      <c r="I106" s="26">
        <f>IFERROR(__xludf.DUMMYFUNCTION("(GOOGLEFINANCE(A106, ""price"") / INDEX(GOOGLEFINANCE(A106, ""close"", DATE(YEAR(TODAY()), 1, 1), TODAY()), 2, 2)) - 1"),-0.35343168697883254)</f>
        <v/>
      </c>
      <c r="J106" s="26" t="n"/>
      <c r="X106" s="56" t="n">
        <v>25</v>
      </c>
      <c r="Y106" s="56" t="n">
        <v>15</v>
      </c>
      <c r="Z106" s="56" t="n">
        <v>85</v>
      </c>
      <c r="AA106" s="56" t="n">
        <v>90</v>
      </c>
      <c r="AB106" s="56" t="n">
        <v>55</v>
      </c>
      <c r="AC106" s="57" t="inlineStr">
        <is>
          <t>INFQ is a Quantum Computing stock with very weak momentum and very high risk. The theme is strong but social buzz is only moderate.</t>
        </is>
      </c>
    </row>
    <row r="107">
      <c r="A107" s="23" t="inlineStr">
        <is>
          <t>AMBA</t>
        </is>
      </c>
      <c r="B107" s="23" t="inlineStr">
        <is>
          <t>Drone</t>
        </is>
      </c>
      <c r="C107" s="4" t="inlineStr">
        <is>
          <t>https://x.com/disruptorinvest?s=20</t>
        </is>
      </c>
      <c r="D107" s="4" t="inlineStr">
        <is>
          <t>https://x.com/disruptorinvest/status/2008894936536555940</t>
        </is>
      </c>
      <c r="E107" s="39" t="n">
        <v>46029</v>
      </c>
      <c r="F107" s="4" t="inlineStr">
        <is>
          <t>https://x.com/disruptorinvest?s=20</t>
        </is>
      </c>
      <c r="G107" s="4" t="inlineStr">
        <is>
          <t>https://x.com/TheValueist/status/2004732954572992568</t>
        </is>
      </c>
      <c r="H107" s="26">
        <f>IFERROR(__xludf.DUMMYFUNCTION("((GOOGLEFINANCE(A107, ""price"") / INDEX(GOOGLEFINANCE(A107, ""close"", TODAY()-7), 2, 2)) - 1 )
"),-0.01821254224558766)</f>
        <v/>
      </c>
      <c r="I107" s="26">
        <f>IFERROR(__xludf.DUMMYFUNCTION("(GOOGLEFINANCE(A107, ""price"") / INDEX(GOOGLEFINANCE(A107, ""close"", DATE(YEAR(TODAY()), 1, 1), TODAY()), 2, 2)) - 1"),-0.3042841937200639)</f>
        <v/>
      </c>
      <c r="J107" s="26">
        <f>IFERROR(__xludf.DUMMYFUNCTION("((GOOGLEFINANCE(A107, ""price"") / INDEX(GOOGLEFINANCE(A107, ""close"", DATE(2026,2,20)), 2, 2)) - 1 )
"),-0.23114247904719898)</f>
        <v/>
      </c>
      <c r="X107" s="56" t="n">
        <v>30</v>
      </c>
      <c r="Y107" s="56" t="n">
        <v>40</v>
      </c>
      <c r="Z107" s="56" t="n">
        <v>65</v>
      </c>
      <c r="AA107" s="56" t="n">
        <v>75</v>
      </c>
      <c r="AB107" s="56" t="n">
        <v>55</v>
      </c>
      <c r="AC107" s="57" t="inlineStr">
        <is>
          <t>AMBA in Drone and Edge AI has weak momentum and high risk. Thematic relevance is moderate and social buzz is supported by KOLs.</t>
        </is>
      </c>
    </row>
    <row r="108">
      <c r="A108" s="23" t="inlineStr">
        <is>
          <t>QUBT</t>
        </is>
      </c>
      <c r="B108" s="23" t="inlineStr">
        <is>
          <t>Quantum Computing</t>
        </is>
      </c>
      <c r="C108" s="4" t="inlineStr">
        <is>
          <t>https://x.com/LogicalThesis</t>
        </is>
      </c>
      <c r="D108" s="4" t="inlineStr">
        <is>
          <t>https://x.com/LogicalThesis/status/2010148346544247024</t>
        </is>
      </c>
      <c r="E108" s="40" t="n">
        <v>46033</v>
      </c>
      <c r="G108" s="4" t="inlineStr">
        <is>
          <t>https://x.com/LogicalThesis/status/2010148346544247024</t>
        </is>
      </c>
      <c r="H108" s="26">
        <f>IFERROR(__xludf.DUMMYFUNCTION("((GOOGLEFINANCE(A108, ""price"") / INDEX(GOOGLEFINANCE(A108, ""close"", TODAY()-7), 2, 2)) - 1 )
"),-0.04325032765399739)</f>
        <v/>
      </c>
      <c r="I108" s="26">
        <f>IFERROR(__xludf.DUMMYFUNCTION("(GOOGLEFINANCE(A108, ""price"") / INDEX(GOOGLEFINANCE(A108, ""close"", DATE(YEAR(TODAY()), 1, 1), TODAY()), 2, 2)) - 1"),-0.3369663941871026)</f>
        <v/>
      </c>
      <c r="J108" s="26">
        <f>IFERROR(__xludf.DUMMYFUNCTION("((GOOGLEFINANCE(A108, ""price"") / INDEX(GOOGLEFINANCE(A108, ""close"", DATE(2026,2,20)), 2, 2)) - 1 )
"),-0.07594936708860767)</f>
        <v/>
      </c>
      <c r="X108" s="56" t="n">
        <v>40</v>
      </c>
      <c r="Y108" s="56" t="n">
        <v>30</v>
      </c>
      <c r="Z108" s="56" t="n">
        <v>75</v>
      </c>
      <c r="AA108" s="56" t="n">
        <v>70</v>
      </c>
      <c r="AB108" s="56" t="n">
        <v>60</v>
      </c>
      <c r="AC108" s="57" t="inlineStr">
        <is>
          <t>QUBT operates in the high-interest Quantum Computing theme, earning a strong theme score. However, its significant YTD decline and recent negative momentum reduce its momentum and overall attractiveness. Moderate social buzz from a known KOL supports some investor interest, but volatility contributes to a high risk score.</t>
        </is>
      </c>
    </row>
    <row r="109">
      <c r="A109" s="23" t="inlineStr">
        <is>
          <t>MBLY</t>
        </is>
      </c>
      <c r="B109" s="23" t="inlineStr">
        <is>
          <t>Robotics</t>
        </is>
      </c>
      <c r="C109" s="4" t="inlineStr">
        <is>
          <t>https://x.com/ThematicTrader</t>
        </is>
      </c>
      <c r="D109" s="4" t="inlineStr">
        <is>
          <t>https://x.com/ThematicTrader/status/2010491097177272812</t>
        </is>
      </c>
      <c r="E109" s="40" t="n">
        <v>46033</v>
      </c>
      <c r="F109" s="4" t="inlineStr">
        <is>
          <t>https://x.com/SeekingAlpha</t>
        </is>
      </c>
      <c r="G109" s="4" t="inlineStr">
        <is>
          <t>https://x.com/ThematicTrader/status/2010491097177272812</t>
        </is>
      </c>
      <c r="H109" s="26">
        <f>IFERROR(__xludf.DUMMYFUNCTION("((GOOGLEFINANCE(A109, ""price"") / INDEX(GOOGLEFINANCE(A109, ""close"", TODAY()-7), 2, 2)) - 1 )
"),-0.0572851805728517)</f>
        <v/>
      </c>
      <c r="I109" s="26">
        <f>IFERROR(__xludf.DUMMYFUNCTION("(GOOGLEFINANCE(A109, ""price"") / INDEX(GOOGLEFINANCE(A109, ""close"", DATE(YEAR(TODAY()), 1, 1), TODAY()), 2, 2)) - 1"),-0.32591273374888696)</f>
        <v/>
      </c>
      <c r="J109" s="26">
        <f>IFERROR(__xludf.DUMMYFUNCTION("((GOOGLEFINANCE(A109, ""price"") / INDEX(GOOGLEFINANCE(A109, ""close"", DATE(2026,2,20)), 2, 2)) - 1 )
"),-0.16353591160220993)</f>
        <v/>
      </c>
      <c r="X109" s="56" t="n">
        <v>35</v>
      </c>
      <c r="Y109" s="56" t="n">
        <v>25</v>
      </c>
      <c r="Z109" s="56" t="n">
        <v>60</v>
      </c>
      <c r="AA109" s="56" t="n">
        <v>75</v>
      </c>
      <c r="AB109" s="56" t="n">
        <v>70</v>
      </c>
      <c r="AC109" s="57" t="inlineStr">
        <is>
          <t>MBLY is in the Robotics theme, which is relevant but less hot than AI or Quantum Computing. The stock shows weak momentum with steep YTD losses and recent negative performance. Strong social buzz from multiple contributors is a positive, but high volatility and risk weigh down the overall score.</t>
        </is>
      </c>
    </row>
    <row r="110">
      <c r="A110" s="23" t="inlineStr">
        <is>
          <t>SLP</t>
        </is>
      </c>
      <c r="B110" s="23" t="inlineStr">
        <is>
          <t>AI Medicine</t>
        </is>
      </c>
      <c r="C110" s="4" t="inlineStr">
        <is>
          <t>https://x.com/LogicalThesis</t>
        </is>
      </c>
      <c r="D110" s="5" t="inlineStr">
        <is>
          <t>https://x.com/LogicalThesis/status/2010148346544247024</t>
        </is>
      </c>
      <c r="E110" s="40" t="n">
        <v>46033</v>
      </c>
      <c r="G110" s="4" t="inlineStr">
        <is>
          <t>https://x.com/LogicalThesis/status/2010148346544247024</t>
        </is>
      </c>
      <c r="H110" s="26">
        <f>IFERROR(__xludf.DUMMYFUNCTION("((GOOGLEFINANCE(A110, ""price"") / INDEX(GOOGLEFINANCE(A110, ""close"", TODAY()-7), 2, 2)) - 1 )
"),8.045052292839916E-4)</f>
        <v/>
      </c>
      <c r="I110" s="26">
        <f>IFERROR(__xludf.DUMMYFUNCTION("(GOOGLEFINANCE(A110, ""price"") / INDEX(GOOGLEFINANCE(A110, ""close"", DATE(YEAR(TODAY()), 1, 1), TODAY()), 2, 2)) - 1"),-0.3130866924351188)</f>
        <v/>
      </c>
      <c r="J110" s="26">
        <f>IFERROR(__xludf.DUMMYFUNCTION("((GOOGLEFINANCE(A110, ""price"") / INDEX(GOOGLEFINANCE(A110, ""close"", DATE(2026,2,20)), 2, 2)) - 1 )
"),0.06689536878216118)</f>
        <v/>
      </c>
      <c r="X110" s="56" t="n">
        <v>45</v>
      </c>
      <c r="Y110" s="56" t="n">
        <v>50</v>
      </c>
      <c r="Z110" s="56" t="n">
        <v>70</v>
      </c>
      <c r="AA110" s="56" t="n">
        <v>65</v>
      </c>
      <c r="AB110" s="56" t="n">
        <v>60</v>
      </c>
      <c r="AC110" s="57" t="inlineStr">
        <is>
          <t>SLP is positioned in AI Medicine, a strong thematic area, with slight positive momentum over the past week and a positive specific date performance. Despite heavy YTD losses, the moderate momentum and thematic relevance support a mid-level score. Social buzz is moderate with known KOL backing.</t>
        </is>
      </c>
    </row>
    <row r="111">
      <c r="A111" s="23" t="inlineStr">
        <is>
          <t>SDGR</t>
        </is>
      </c>
      <c r="B111" s="23" t="inlineStr">
        <is>
          <t>AI Medicine</t>
        </is>
      </c>
      <c r="C111" s="4" t="inlineStr">
        <is>
          <t>https://x.com/Staudinger333</t>
        </is>
      </c>
      <c r="D111" s="4" t="inlineStr">
        <is>
          <t>https://x.com/Staudinger333/status/2011510256375906434</t>
        </is>
      </c>
      <c r="E111" s="40" t="n">
        <v>46036</v>
      </c>
      <c r="H111" s="26">
        <f>IFERROR(__xludf.DUMMYFUNCTION("((GOOGLEFINANCE(A111, ""price"") / INDEX(GOOGLEFINANCE(A111, ""close"", TODAY()-7), 2, 2)) - 1 )
"),-0.03397683397683393)</f>
        <v/>
      </c>
      <c r="I111" s="26">
        <f>IFERROR(__xludf.DUMMYFUNCTION("(GOOGLEFINANCE(A111, ""price"") / INDEX(GOOGLEFINANCE(A111, ""close"", DATE(YEAR(TODAY()), 1, 1), TODAY()), 2, 2)) - 1"),-0.30422691879866526)</f>
        <v/>
      </c>
      <c r="J111" s="26">
        <f>IFERROR(__xludf.DUMMYFUNCTION("((GOOGLEFINANCE(A111, ""price"") / INDEX(GOOGLEFINANCE(A111, ""close"", DATE(2026,2,20)), 2, 2)) - 1 )
"),0.08499566348655696)</f>
        <v/>
      </c>
      <c r="X111" s="56" t="n">
        <v>48</v>
      </c>
      <c r="Y111" s="56" t="n">
        <v>45</v>
      </c>
      <c r="Z111" s="56" t="n">
        <v>70</v>
      </c>
      <c r="AA111" s="56" t="n">
        <v>65</v>
      </c>
      <c r="AB111" s="56" t="n">
        <v>55</v>
      </c>
      <c r="AC111" s="57" t="inlineStr">
        <is>
          <t>SDGR shares the AI Medicine theme with SLP and shows similar momentum characteristics with a positive specific date performance but negative YTD. The theme remains strong, and moderate social buzz from a KOL supports interest. Risk remains elevated due to volatility.</t>
        </is>
      </c>
    </row>
    <row r="112">
      <c r="A112" s="23" t="inlineStr">
        <is>
          <t>PGNY</t>
        </is>
      </c>
      <c r="B112" s="23" t="inlineStr">
        <is>
          <t>Healthcare</t>
        </is>
      </c>
      <c r="C112" s="4" t="inlineStr">
        <is>
          <t>https://x.com/DannyOcean555</t>
        </is>
      </c>
      <c r="D112" s="4" t="inlineStr">
        <is>
          <t>https://x.com/DannyOcean555/status/2011274693169303774</t>
        </is>
      </c>
      <c r="E112" s="40" t="n">
        <v>46036</v>
      </c>
      <c r="G112" s="4" t="inlineStr">
        <is>
          <t>https://x.com/DannyOcean555/status/2011274693169303774</t>
        </is>
      </c>
      <c r="H112" s="26">
        <f>IFERROR(__xludf.DUMMYFUNCTION("((GOOGLEFINANCE(A112, ""price"") / INDEX(GOOGLEFINANCE(A112, ""close"", TODAY()-7), 2, 2)) - 1 )
"),-0.04109589041095896)</f>
        <v/>
      </c>
      <c r="I112" s="26">
        <f>IFERROR(__xludf.DUMMYFUNCTION("(GOOGLEFINANCE(A112, ""price"") / INDEX(GOOGLEFINANCE(A112, ""close"", DATE(YEAR(TODAY()), 1, 1), TODAY()), 2, 2)) - 1"),-0.3201243201243201)</f>
        <v/>
      </c>
      <c r="J112" s="26">
        <f>IFERROR(__xludf.DUMMYFUNCTION("((GOOGLEFINANCE(A112, ""price"") / INDEX(GOOGLEFINANCE(A112, ""close"", DATE(2026,2,20)), 2, 2)) - 1 )
"),-0.16587225929456628)</f>
        <v/>
      </c>
      <c r="X112" s="56" t="n">
        <v>35</v>
      </c>
      <c r="Y112" s="56" t="n">
        <v>30</v>
      </c>
      <c r="Z112" s="56" t="n">
        <v>50</v>
      </c>
      <c r="AA112" s="56" t="n">
        <v>70</v>
      </c>
      <c r="AB112" s="56" t="n">
        <v>55</v>
      </c>
      <c r="AC112" s="57" t="inlineStr">
        <is>
          <t>PGNY is in the broader Healthcare theme, which is less trendy compared to AI or Quantum Computing. It has weak momentum with negative YTD and recent performance. Social buzz is moderate but not strong enough to offset the risk and poor momentum.</t>
        </is>
      </c>
    </row>
    <row r="113">
      <c r="A113" s="23" t="inlineStr">
        <is>
          <t>CAI</t>
        </is>
      </c>
      <c r="B113" s="23" t="inlineStr">
        <is>
          <t>AI Medicine</t>
        </is>
      </c>
      <c r="C113" s="4" t="inlineStr">
        <is>
          <t>https://x.com/Biotech2k1</t>
        </is>
      </c>
      <c r="D113" s="4" t="inlineStr">
        <is>
          <t>https://x.com/Biotech2k1/status/2011055135959515337</t>
        </is>
      </c>
      <c r="E113" s="40" t="n">
        <v>46035</v>
      </c>
      <c r="F113" s="4" t="inlineStr">
        <is>
          <t>https://x.com/Biotech2k1</t>
        </is>
      </c>
      <c r="G113" s="4" t="inlineStr">
        <is>
          <t>https://x.com/Biotech2k1/status/2011055135959515337</t>
        </is>
      </c>
      <c r="H113" s="26">
        <f>IFERROR(__xludf.DUMMYFUNCTION("((GOOGLEFINANCE(A113, ""price"") / INDEX(GOOGLEFINANCE(A113, ""close"", TODAY()-7), 2, 2)) - 1 )
"),-0.044736842105263186)</f>
        <v/>
      </c>
      <c r="I113" s="26">
        <f>IFERROR(__xludf.DUMMYFUNCTION("(GOOGLEFINANCE(A113, ""price"") / INDEX(GOOGLEFINANCE(A113, ""close"", DATE(YEAR(TODAY()), 1, 1), TODAY()), 2, 2)) - 1"),-0.3272794662713121)</f>
        <v/>
      </c>
      <c r="J113" s="26">
        <f>IFERROR(__xludf.DUMMYFUNCTION("((GOOGLEFINANCE(A113, ""price"") / INDEX(GOOGLEFINANCE(A113, ""close"", DATE(2026,2,20)), 2, 2)) - 1 )
"),-0.07066052227342567)</f>
        <v/>
      </c>
      <c r="X113" s="56" t="n">
        <v>40</v>
      </c>
      <c r="Y113" s="56" t="n">
        <v>30</v>
      </c>
      <c r="Z113" s="56" t="n">
        <v>70</v>
      </c>
      <c r="AA113" s="56" t="n">
        <v>70</v>
      </c>
      <c r="AB113" s="56" t="n">
        <v>65</v>
      </c>
      <c r="AC113" s="57" t="inlineStr">
        <is>
          <t>CAI operates in AI Medicine with a strong thematic relevance but poor momentum and negative YTD performance. The presence of both KOL and top contributor social buzz supports investor interest, though high volatility increases risk.</t>
        </is>
      </c>
    </row>
    <row r="114">
      <c r="A114" s="23" t="inlineStr">
        <is>
          <t>QBTS</t>
        </is>
      </c>
      <c r="B114" s="23" t="inlineStr">
        <is>
          <t>Quantum Computing</t>
        </is>
      </c>
      <c r="H114" s="26">
        <f>IFERROR(__xludf.DUMMYFUNCTION("((GOOGLEFINANCE(A114, ""price"") / INDEX(GOOGLEFINANCE(A114, ""close"", TODAY()-7), 2, 2)) - 1 )
"),-0.07825630252100835)</f>
        <v/>
      </c>
      <c r="I114" s="26">
        <f>IFERROR(__xludf.DUMMYFUNCTION("(GOOGLEFINANCE(A114, ""price"") / INDEX(GOOGLEFINANCE(A114, ""close"", DATE(YEAR(TODAY()), 1, 1), TODAY()), 2, 2)) - 1"),-0.3761109136153572)</f>
        <v/>
      </c>
      <c r="J114" s="26">
        <f>IFERROR(__xludf.DUMMYFUNCTION("((GOOGLEFINANCE(A114, ""price"") / INDEX(GOOGLEFINANCE(A114, ""close"", DATE(2026,2,20)), 2, 2)) - 1 )
"),-0.028239202657807216)</f>
        <v/>
      </c>
      <c r="X114" s="56" t="n">
        <v>35</v>
      </c>
      <c r="Y114" s="56" t="n">
        <v>20</v>
      </c>
      <c r="Z114" s="56" t="n">
        <v>75</v>
      </c>
      <c r="AA114" s="56" t="n">
        <v>75</v>
      </c>
      <c r="AB114" s="56" t="n">
        <v>30</v>
      </c>
      <c r="AC114" s="57" t="inlineStr">
        <is>
          <t>QBTS is a Quantum Computing stock with strong thematic relevance but suffers from very poor momentum and the worst YTD performance among peers. Lack of KOL or contributor social buzz lowers social score. High volatility and risk further reduce investment attractiveness.</t>
        </is>
      </c>
    </row>
    <row r="115">
      <c r="A115" s="23" t="inlineStr">
        <is>
          <t>ENVX</t>
        </is>
      </c>
      <c r="B115" s="23" t="inlineStr">
        <is>
          <t>Battery</t>
        </is>
      </c>
      <c r="C115" s="4" t="inlineStr">
        <is>
          <t>https://x.com/traderstewie</t>
        </is>
      </c>
      <c r="D115" s="4" t="inlineStr">
        <is>
          <t>https://x.com/traderstewie/status/1948487778007740572</t>
        </is>
      </c>
      <c r="E115" s="15" t="n">
        <v>45862</v>
      </c>
      <c r="F115" s="4" t="inlineStr">
        <is>
          <t>https://x.com/acethebullly</t>
        </is>
      </c>
      <c r="G115" s="4" t="inlineStr">
        <is>
          <t>https://x.com/traderstewie/status/1948487778007740572</t>
        </is>
      </c>
      <c r="H115" s="26">
        <f>IFERROR(__xludf.DUMMYFUNCTION("((GOOGLEFINANCE(A115, ""price"") / INDEX(GOOGLEFINANCE(A115, ""close"", TODAY()-7), 2, 2)) - 1 )
"),-0.029469548133595147)</f>
        <v/>
      </c>
      <c r="I115" s="26">
        <f>IFERROR(__xludf.DUMMYFUNCTION("(GOOGLEFINANCE(A115, ""price"") / INDEX(GOOGLEFINANCE(A115, ""close"", DATE(YEAR(TODAY()), 1, 1), TODAY()), 2, 2)) - 1"),-0.373891001267427)</f>
        <v/>
      </c>
      <c r="J115" s="26">
        <f>IFERROR(__xludf.DUMMYFUNCTION("((GOOGLEFINANCE(A115, ""price"") / INDEX(GOOGLEFINANCE(A115, ""close"", DATE(2026,2,20)), 2, 2)) - 1 )
"),-0.16974789915966382)</f>
        <v/>
      </c>
      <c r="X115" s="56" t="n">
        <v>30</v>
      </c>
      <c r="Y115" s="56" t="n">
        <v>35</v>
      </c>
      <c r="Z115" s="56" t="n">
        <v>55</v>
      </c>
      <c r="AA115" s="56" t="n">
        <v>70</v>
      </c>
      <c r="AB115" s="56" t="n">
        <v>60</v>
      </c>
      <c r="AC115" s="57" t="inlineStr">
        <is>
          <t>ENVX is in the Battery theme, which is relevant but less hot than AI or Quantum Computing. Momentum is weak with negative YTD and recent performance. Social buzz is moderate from known contributors, but risk remains high due to volatility.</t>
        </is>
      </c>
    </row>
    <row r="116">
      <c r="A116" s="23" t="inlineStr">
        <is>
          <t>SES</t>
        </is>
      </c>
      <c r="B116" s="23" t="n"/>
      <c r="C116" s="23" t="n"/>
      <c r="D116" s="23" t="n"/>
      <c r="E116" s="23" t="n"/>
      <c r="F116" s="23" t="n"/>
      <c r="G116" s="23" t="n"/>
      <c r="H116" s="26">
        <f>IFERROR(__xludf.DUMMYFUNCTION("((GOOGLEFINANCE(A116, ""price"") / INDEX(GOOGLEFINANCE(A116, ""close"", TODAY()-7), 2, 2)) - 1 )
"),0.042735042735042805)</f>
        <v/>
      </c>
      <c r="I116" s="26">
        <f>IFERROR(__xludf.DUMMYFUNCTION("(GOOGLEFINANCE(A116, ""price"") / INDEX(GOOGLEFINANCE(A116, ""close"", DATE(YEAR(TODAY()), 1, 1), TODAY()), 2, 2)) - 1"),-0.36458333333333337)</f>
        <v/>
      </c>
      <c r="J116" s="26">
        <f>IFERROR(__xludf.DUMMYFUNCTION("((GOOGLEFINANCE(A116, ""price"") / INDEX(GOOGLEFINANCE(A116, ""close"", DATE(2026,2,20)), 2, 2)) - 1 )
"),-0.2606060606060606)</f>
        <v/>
      </c>
      <c r="X116" s="56" t="n">
        <v>25</v>
      </c>
      <c r="Y116" s="56" t="n">
        <v>55</v>
      </c>
      <c r="Z116" s="56" t="n">
        <v>30</v>
      </c>
      <c r="AA116" s="56" t="n">
        <v>70</v>
      </c>
      <c r="AB116" s="56" t="n">
        <v>20</v>
      </c>
      <c r="AC116" s="57" t="inlineStr">
        <is>
          <t>SES shows positive momentum recently but suffers from very poor YTD performance and lacks a clear thematic play or social buzz. The absence of a strong theme and social backing limits its attractiveness despite short-term momentum.</t>
        </is>
      </c>
    </row>
    <row r="117">
      <c r="A117" s="23" t="inlineStr">
        <is>
          <t>GTLB</t>
        </is>
      </c>
      <c r="B117" s="23" t="inlineStr">
        <is>
          <t>AI Agent</t>
        </is>
      </c>
      <c r="C117" s="4" t="inlineStr">
        <is>
          <t>https://x.com/Venu_7_</t>
        </is>
      </c>
      <c r="D117" s="4" t="inlineStr">
        <is>
          <t>https://x.com/Venu_7_/status/1993124567890123456</t>
        </is>
      </c>
      <c r="E117" s="39" t="n">
        <v>45976</v>
      </c>
      <c r="F117" s="4" t="inlineStr">
        <is>
          <t>https://x.com/RedDogT3</t>
        </is>
      </c>
      <c r="G117" s="4" t="inlineStr">
        <is>
          <t>https://x.com/Venu_7_/status/1993124567890123456</t>
        </is>
      </c>
      <c r="H117" s="26">
        <f>IFERROR(__xludf.DUMMYFUNCTION("((GOOGLEFINANCE(A117, ""price"") / INDEX(GOOGLEFINANCE(A117, ""close"", TODAY()-7), 2, 2)) - 1 )
"),-0.07689178193653368)</f>
        <v/>
      </c>
      <c r="I117" s="26">
        <f>IFERROR(__xludf.DUMMYFUNCTION("(GOOGLEFINANCE(A117, ""price"") / INDEX(GOOGLEFINANCE(A117, ""close"", DATE(YEAR(TODAY()), 1, 1), TODAY()), 2, 2)) - 1"),-0.372857932559425)</f>
        <v/>
      </c>
      <c r="J117" s="26">
        <f>IFERROR(__xludf.DUMMYFUNCTION("((GOOGLEFINANCE(A117, ""price"") / INDEX(GOOGLEFINANCE(A117, ""close"", DATE(2026,2,20)), 2, 2)) - 1 )
"),-0.14020462296324365)</f>
        <v/>
      </c>
      <c r="X117" s="56" t="n">
        <v>30</v>
      </c>
      <c r="Y117" s="56" t="n">
        <v>25</v>
      </c>
      <c r="Z117" s="56" t="n">
        <v>65</v>
      </c>
      <c r="AA117" s="56" t="n">
        <v>75</v>
      </c>
      <c r="AB117" s="56" t="n">
        <v>60</v>
      </c>
      <c r="AC117" s="57" t="inlineStr">
        <is>
          <t>GTLB is in the AI Agent theme, which is relevant but the stock shows weak momentum and poor YTD performance. Social buzz from KOL and contributors is moderate. High risk due to volatility weighs on the overall score.</t>
        </is>
      </c>
    </row>
    <row r="118">
      <c r="A118" s="23" t="inlineStr">
        <is>
          <t>CRNC</t>
        </is>
      </c>
      <c r="B118" s="23" t="inlineStr">
        <is>
          <t>Robotaxi</t>
        </is>
      </c>
      <c r="C118" s="4" t="inlineStr">
        <is>
          <t>https://x.com/Benzinga</t>
        </is>
      </c>
      <c r="E118" s="40" t="n">
        <v>45744</v>
      </c>
      <c r="F118" s="4" t="inlineStr">
        <is>
          <t>https://x.com/timothysykes</t>
        </is>
      </c>
      <c r="H118" s="26">
        <f>IFERROR(__xludf.DUMMYFUNCTION("((GOOGLEFINANCE(A118, ""price"") / INDEX(GOOGLEFINANCE(A118, ""close"", TODAY()-7), 2, 2)) - 1 )
"),-0.02092050209205021)</f>
        <v/>
      </c>
      <c r="I118" s="26">
        <f>IFERROR(__xludf.DUMMYFUNCTION("(GOOGLEFINANCE(A118, ""price"") / INDEX(GOOGLEFINANCE(A118, ""close"", DATE(YEAR(TODAY()), 1, 1), TODAY()), 2, 2)) - 1"),-0.39273356401384085)</f>
        <v/>
      </c>
      <c r="J118" s="26">
        <f>IFERROR(__xludf.DUMMYFUNCTION("((GOOGLEFINANCE(A118, ""price"") / INDEX(GOOGLEFINANCE(A118, ""close"", DATE(2026,2,20)), 2, 2)) - 1 )
"),-0.11363636363636365)</f>
        <v/>
      </c>
      <c r="X118" s="56" t="n">
        <v>28</v>
      </c>
      <c r="Y118" s="56" t="n">
        <v>40</v>
      </c>
      <c r="Z118" s="56" t="n">
        <v>60</v>
      </c>
      <c r="AA118" s="56" t="n">
        <v>70</v>
      </c>
      <c r="AB118" s="56" t="n">
        <v>65</v>
      </c>
      <c r="AC118" s="57" t="inlineStr">
        <is>
          <t>CRNC operates in the Robotaxi theme, which is niche but relevant. Momentum is slightly negative but better than many peers. Strong social buzz from Benzinga and Timothy Sykes supports interest, though risk remains elevated.</t>
        </is>
      </c>
    </row>
    <row r="119">
      <c r="A119" s="23" t="inlineStr">
        <is>
          <t>CDLX</t>
        </is>
      </c>
      <c r="B119" s="23" t="inlineStr">
        <is>
          <t>AI Data</t>
        </is>
      </c>
      <c r="H119" s="26">
        <f>IFERROR(__xludf.DUMMYFUNCTION("((GOOGLEFINANCE(A119, ""price"") / INDEX(GOOGLEFINANCE(A119, ""close"", TODAY()-7), 2, 2)) - 1 )
"),-0.09459459459459452)</f>
        <v/>
      </c>
      <c r="I119" s="26">
        <f>IFERROR(__xludf.DUMMYFUNCTION("(GOOGLEFINANCE(A119, ""price"") / INDEX(GOOGLEFINANCE(A119, ""close"", DATE(YEAR(TODAY()), 1, 1), TODAY()), 2, 2)) - 1"),-0.4017857142857143)</f>
        <v/>
      </c>
      <c r="J119" s="26">
        <f>IFERROR(__xludf.DUMMYFUNCTION("((GOOGLEFINANCE(A119, ""price"") / INDEX(GOOGLEFINANCE(A119, ""close"", DATE(2026,2,20)), 2, 2)) - 1 )
"),-0.2637362637362637)</f>
        <v/>
      </c>
      <c r="X119" s="56" t="n">
        <v>20</v>
      </c>
      <c r="Y119" s="56" t="n">
        <v>15</v>
      </c>
      <c r="Z119" s="56" t="n">
        <v>60</v>
      </c>
      <c r="AA119" s="56" t="n">
        <v>80</v>
      </c>
      <c r="AB119" s="56" t="n">
        <v>25</v>
      </c>
      <c r="AC119" s="57" t="inlineStr">
        <is>
          <t>CDLX is in AI Data but suffers from very poor momentum and the worst recent weekly performance. Lack of social buzz and high volatility contribute to a high risk score and low overall attractiveness.</t>
        </is>
      </c>
    </row>
    <row r="120">
      <c r="A120" s="23" t="inlineStr">
        <is>
          <t>SNAP</t>
        </is>
      </c>
      <c r="B120" s="23" t="inlineStr">
        <is>
          <t>AI Distribution</t>
        </is>
      </c>
      <c r="C120" s="4" t="inlineStr">
        <is>
          <t>https://x.com/DevelopAll</t>
        </is>
      </c>
      <c r="D120" s="4" t="inlineStr">
        <is>
          <t>https://x.com/DevelopAll/status/1952408673449385993</t>
        </is>
      </c>
      <c r="E120" s="40" t="n">
        <v>45873</v>
      </c>
      <c r="F120" s="4" t="inlineStr">
        <is>
          <t>https://x.com/Ashton_1nvests</t>
        </is>
      </c>
      <c r="G120" s="4" t="inlineStr">
        <is>
          <t>https://x.com/DevelopAll/status/1952408673449385993</t>
        </is>
      </c>
      <c r="H120" s="26">
        <f>IFERROR(__xludf.DUMMYFUNCTION("((GOOGLEFINANCE(A120, ""price"") / INDEX(GOOGLEFINANCE(A120, ""close"", TODAY()-7), 2, 2)) - 1 )
"),-0.11111111111111116)</f>
        <v/>
      </c>
      <c r="I120" s="26">
        <f>IFERROR(__xludf.DUMMYFUNCTION("(GOOGLEFINANCE(A120, ""price"") / INDEX(GOOGLEFINANCE(A120, ""close"", DATE(YEAR(TODAY()), 1, 1), TODAY()), 2, 2)) - 1"),-0.4391143911439115)</f>
        <v/>
      </c>
      <c r="J120" s="26">
        <f>IFERROR(__xludf.DUMMYFUNCTION("((GOOGLEFINANCE(A120, ""price"") / INDEX(GOOGLEFINANCE(A120, ""close"", DATE(2026,2,20)), 2, 2)) - 1 )
"),-0.11284046692607008)</f>
        <v/>
      </c>
      <c r="X120" s="56" t="n">
        <v>22</v>
      </c>
      <c r="Y120" s="56" t="n">
        <v>10</v>
      </c>
      <c r="Z120" s="56" t="n">
        <v>65</v>
      </c>
      <c r="AA120" s="56" t="n">
        <v>80</v>
      </c>
      <c r="AB120" s="56" t="n">
        <v>60</v>
      </c>
      <c r="AC120" s="57" t="inlineStr">
        <is>
          <t>SNAP is in AI Distribution with significant social buzz and KOL backing. However, it has the worst YTD performance and recent momentum, leading to high risk and low overall score despite thematic relevance.</t>
        </is>
      </c>
    </row>
    <row r="121">
      <c r="A121" s="23" t="inlineStr">
        <is>
          <t>KLAR</t>
        </is>
      </c>
      <c r="B121" s="23" t="inlineStr">
        <is>
          <t xml:space="preserve">BNPL </t>
        </is>
      </c>
      <c r="C121" s="4" t="inlineStr">
        <is>
          <t>https://x.com/P14Capital</t>
        </is>
      </c>
      <c r="D121" s="4" t="inlineStr">
        <is>
          <t>https://x.com/P14Capital/status/2010084282535153667</t>
        </is>
      </c>
      <c r="E121" s="40" t="n">
        <v>46032</v>
      </c>
      <c r="F121" s="4" t="inlineStr">
        <is>
          <t>https://x.com/LaMonicaBuzz</t>
        </is>
      </c>
      <c r="G121" s="4" t="inlineStr">
        <is>
          <t>https://x.com/P14Capital/status/2010084282535153667</t>
        </is>
      </c>
      <c r="H121" s="26">
        <f>IFERROR(__xludf.DUMMYFUNCTION("((GOOGLEFINANCE(A121, ""price"") / INDEX(GOOGLEFINANCE(A121, ""close"", TODAY()-7), 2, 2)) - 1 )
"),0.10180055401662047)</f>
        <v/>
      </c>
      <c r="I121" s="26">
        <f>IFERROR(__xludf.DUMMYFUNCTION("(GOOGLEFINANCE(A121, ""price"") / INDEX(GOOGLEFINANCE(A121, ""close"", DATE(YEAR(TODAY()), 1, 1), TODAY()), 2, 2)) - 1"),-0.44312215610780537)</f>
        <v/>
      </c>
      <c r="J121" s="26">
        <f>IFERROR(__xludf.DUMMYFUNCTION("((GOOGLEFINANCE(A121, ""price"") / INDEX(GOOGLEFINANCE(A121, ""close"", DATE(2026,2,20)), 2, 2)) - 1 )
"),0.21636085626911306)</f>
        <v/>
      </c>
      <c r="X121" s="56" t="n">
        <v>38</v>
      </c>
      <c r="Y121" s="56" t="n">
        <v>65</v>
      </c>
      <c r="Z121" s="56" t="n">
        <v>50</v>
      </c>
      <c r="AA121" s="56" t="n">
        <v>65</v>
      </c>
      <c r="AB121" s="56" t="n">
        <v>70</v>
      </c>
      <c r="AC121" s="57" t="inlineStr">
        <is>
          <t>KLAR is in BNPL, a less trendy theme but shows strong recent momentum and social buzz from notable contributors. Despite poor YTD performance, the positive momentum and social backing improve its overall score with moderate risk.</t>
        </is>
      </c>
    </row>
    <row r="122">
      <c r="A122" s="23" t="inlineStr">
        <is>
          <t>U</t>
        </is>
      </c>
      <c r="B122" s="23" t="inlineStr">
        <is>
          <t>AI adtech</t>
        </is>
      </c>
      <c r="C122" s="4" t="inlineStr">
        <is>
          <t>https://x.com/kunal00</t>
        </is>
      </c>
      <c r="D122" s="4" t="inlineStr">
        <is>
          <t>https://x.com/kunal00/status/1996944296998514968</t>
        </is>
      </c>
      <c r="E122" s="40" t="n">
        <v>45996</v>
      </c>
      <c r="F122" s="4" t="inlineStr">
        <is>
          <t>https://x.com/RedDogT3</t>
        </is>
      </c>
      <c r="G122" s="4" t="inlineStr">
        <is>
          <t>https://x.com/kunal00/status/1996944296998514968</t>
        </is>
      </c>
      <c r="H122" s="26">
        <f>IFERROR(__xludf.DUMMYFUNCTION("((GOOGLEFINANCE(A122, ""price"") / INDEX(GOOGLEFINANCE(A122, ""close"", TODAY()-7), 2, 2)) - 1 )
"),-0.08564705882352941)</f>
        <v/>
      </c>
      <c r="I122" s="26">
        <f>IFERROR(__xludf.DUMMYFUNCTION("(GOOGLEFINANCE(A122, ""price"") / INDEX(GOOGLEFINANCE(A122, ""close"", DATE(YEAR(TODAY()), 1, 1), TODAY()), 2, 2)) - 1"),-0.5609039548022599)</f>
        <v/>
      </c>
      <c r="J122" s="26">
        <f>IFERROR(__xludf.DUMMYFUNCTION("((GOOGLEFINANCE(A122, ""price"") / INDEX(GOOGLEFINANCE(A122, ""close"", DATE(2026,2,20)), 2, 2)) - 1 )
"),0.06465753424657539)</f>
        <v/>
      </c>
      <c r="X122" s="56" t="n">
        <v>25</v>
      </c>
      <c r="Y122" s="56" t="n">
        <v>20</v>
      </c>
      <c r="Z122" s="56" t="n">
        <v>60</v>
      </c>
      <c r="AA122" s="56" t="n">
        <v>75</v>
      </c>
      <c r="AB122" s="56" t="n">
        <v>60</v>
      </c>
      <c r="AC122" s="57" t="inlineStr">
        <is>
          <t>U is in AI adtech with moderate social buzz but very poor YTD and recent momentum. High volatility leads to elevated risk, limiting its investment attractiveness despite thematic relevance.</t>
        </is>
      </c>
    </row>
    <row r="123">
      <c r="A123" s="16" t="inlineStr">
        <is>
          <t>SUUN</t>
        </is>
      </c>
      <c r="B123" s="23" t="inlineStr">
        <is>
          <t>Aerospace</t>
        </is>
      </c>
      <c r="C123" s="23" t="n"/>
      <c r="D123" s="23" t="n"/>
      <c r="E123" s="40" t="n"/>
      <c r="F123" s="23" t="n"/>
      <c r="G123" s="23" t="n"/>
      <c r="H123" s="26">
        <f>IFERROR(__xludf.DUMMYFUNCTION("((GOOGLEFINANCE(A123, ""price"") / INDEX(GOOGLEFINANCE(A123, ""close"", TODAY()-7), 2, 2)) - 1 )
"),-0.028169014084507116)</f>
        <v/>
      </c>
      <c r="I123" s="26">
        <f>IFERROR(__xludf.DUMMYFUNCTION("(GOOGLEFINANCE(A123, ""price"") / INDEX(GOOGLEFINANCE(A123, ""close"", DATE(YEAR(TODAY()), 1, 1), TODAY()), 2, 2)) - 1"),-0.6443298969072165)</f>
        <v/>
      </c>
      <c r="J123" s="26">
        <f>IFERROR(__xludf.DUMMYFUNCTION("((GOOGLEFINANCE(A123, ""price"") / INDEX(GOOGLEFINANCE(A123, ""close"", DATE(2026,2,20)), 2, 2)) - 1 )
"),-0.21590909090909094)</f>
        <v/>
      </c>
      <c r="X123" s="56" t="n">
        <v>25</v>
      </c>
      <c r="Y123" s="56" t="n">
        <v>15</v>
      </c>
      <c r="Z123" s="56" t="n">
        <v>50</v>
      </c>
      <c r="AA123" s="56" t="n">
        <v>75</v>
      </c>
      <c r="AB123" s="56" t="n">
        <v>10</v>
      </c>
      <c r="AC123" s="57" t="inlineStr">
        <is>
          <t>SUUN is in the Aerospace sector, which remains relevant but the stock has shown very weak momentum with a significant YTD decline of -64.43%. Lack of KOL backing and negative recent performance contribute to low social buzz and momentum scores. High volatility and poor recent returns increase the risk score.</t>
        </is>
      </c>
    </row>
    <row r="124">
      <c r="H124" s="26" t="n"/>
      <c r="I124" s="26" t="n"/>
      <c r="J124" s="26" t="n"/>
    </row>
    <row r="125">
      <c r="H125" s="26" t="n"/>
      <c r="I125" s="26" t="n"/>
      <c r="J125" s="26" t="n"/>
    </row>
    <row r="126">
      <c r="H126" s="26" t="n"/>
      <c r="I126" s="26" t="n"/>
      <c r="J126" s="26" t="n"/>
    </row>
    <row r="127">
      <c r="H127" s="26" t="n"/>
      <c r="I127" s="26" t="n"/>
      <c r="J127" s="26" t="n"/>
    </row>
    <row r="128">
      <c r="H128" s="26" t="n"/>
      <c r="I128" s="26" t="n"/>
      <c r="J128" s="26" t="n"/>
    </row>
    <row r="129">
      <c r="H129" s="26" t="n"/>
      <c r="I129" s="26" t="n"/>
      <c r="J129" s="26" t="n"/>
    </row>
    <row r="130">
      <c r="H130" s="26" t="n"/>
      <c r="I130" s="26" t="n"/>
      <c r="J130" s="26" t="n"/>
    </row>
    <row r="131">
      <c r="H131" s="26" t="n"/>
      <c r="I131" s="26" t="n"/>
      <c r="J131" s="26" t="n"/>
    </row>
    <row r="132">
      <c r="H132" s="26" t="n"/>
      <c r="I132" s="26" t="n"/>
      <c r="J132" s="26" t="n"/>
    </row>
    <row r="133">
      <c r="H133" s="26" t="n"/>
      <c r="I133" s="26" t="n"/>
      <c r="J133" s="26" t="n"/>
    </row>
    <row r="134">
      <c r="H134" s="26" t="n"/>
      <c r="I134" s="26" t="n"/>
      <c r="J134" s="26" t="n"/>
    </row>
    <row r="135">
      <c r="H135" s="26" t="n"/>
      <c r="I135" s="26" t="n"/>
      <c r="J135" s="26" t="n"/>
    </row>
    <row r="136">
      <c r="H136" s="26" t="n"/>
      <c r="I136" s="26" t="n"/>
      <c r="J136" s="26" t="n"/>
    </row>
    <row r="137">
      <c r="H137" s="26" t="n"/>
      <c r="I137" s="26" t="n"/>
      <c r="J137" s="26" t="n"/>
    </row>
    <row r="138">
      <c r="H138" s="26" t="n"/>
      <c r="I138" s="26" t="n"/>
      <c r="J138" s="26" t="n"/>
    </row>
    <row r="139">
      <c r="H139" s="26" t="n"/>
      <c r="I139" s="26" t="n"/>
      <c r="J139" s="26" t="n"/>
    </row>
    <row r="140">
      <c r="H140" s="26" t="n"/>
      <c r="I140" s="26" t="n"/>
      <c r="J140" s="26" t="n"/>
    </row>
    <row r="141">
      <c r="H141" s="26" t="n"/>
      <c r="I141" s="26" t="n"/>
      <c r="J141" s="26" t="n"/>
    </row>
    <row r="142">
      <c r="H142" s="26" t="n"/>
      <c r="I142" s="26" t="n"/>
      <c r="J142" s="26" t="n"/>
    </row>
    <row r="143">
      <c r="H143" s="26" t="n"/>
      <c r="I143" s="26" t="n"/>
      <c r="J143" s="26" t="n"/>
    </row>
    <row r="144">
      <c r="H144" s="26" t="n"/>
      <c r="I144" s="26" t="n"/>
      <c r="J144" s="26" t="n"/>
    </row>
    <row r="145">
      <c r="H145" s="26" t="n"/>
      <c r="I145" s="26" t="n"/>
      <c r="J145" s="26" t="n"/>
    </row>
    <row r="146">
      <c r="H146" s="26" t="n"/>
      <c r="I146" s="26" t="n"/>
      <c r="J146" s="26" t="n"/>
    </row>
    <row r="147">
      <c r="H147" s="26" t="n"/>
      <c r="I147" s="26" t="n"/>
      <c r="J147" s="26" t="n"/>
    </row>
    <row r="148">
      <c r="H148" s="26" t="n"/>
      <c r="I148" s="26" t="n"/>
      <c r="J148" s="26" t="n"/>
    </row>
    <row r="149">
      <c r="H149" s="26" t="n"/>
      <c r="I149" s="26" t="n"/>
      <c r="J149" s="26" t="n"/>
    </row>
    <row r="150">
      <c r="H150" s="26" t="n"/>
      <c r="I150" s="26" t="n"/>
      <c r="J150" s="26" t="n"/>
    </row>
    <row r="151">
      <c r="H151" s="26" t="n"/>
      <c r="I151" s="26" t="n"/>
      <c r="J151" s="26" t="n"/>
    </row>
    <row r="152">
      <c r="H152" s="26" t="n"/>
      <c r="I152" s="26" t="n"/>
      <c r="J152" s="26" t="n"/>
    </row>
    <row r="153">
      <c r="H153" s="26" t="n"/>
      <c r="I153" s="26" t="n"/>
      <c r="J153" s="26" t="n"/>
    </row>
    <row r="154">
      <c r="H154" s="26" t="n"/>
      <c r="I154" s="26" t="n"/>
      <c r="J154" s="26" t="n"/>
    </row>
    <row r="155">
      <c r="H155" s="26" t="n"/>
      <c r="I155" s="26" t="n"/>
      <c r="J155" s="26" t="n"/>
    </row>
    <row r="156">
      <c r="H156" s="26" t="n"/>
      <c r="I156" s="26" t="n"/>
      <c r="J156" s="26" t="n"/>
    </row>
    <row r="157">
      <c r="H157" s="26" t="n"/>
      <c r="I157" s="26" t="n"/>
      <c r="J157" s="26" t="n"/>
    </row>
    <row r="158">
      <c r="H158" s="26" t="n"/>
      <c r="I158" s="26" t="n"/>
      <c r="J158" s="26" t="n"/>
    </row>
    <row r="159">
      <c r="H159" s="26" t="n"/>
      <c r="I159" s="26" t="n"/>
      <c r="J159" s="26" t="n"/>
    </row>
    <row r="160">
      <c r="H160" s="26" t="n"/>
      <c r="I160" s="26" t="n"/>
      <c r="J160" s="26" t="n"/>
    </row>
    <row r="161">
      <c r="H161" s="26" t="n"/>
      <c r="I161" s="26" t="n"/>
      <c r="J161" s="26" t="n"/>
    </row>
    <row r="162">
      <c r="H162" s="26" t="n"/>
      <c r="I162" s="26" t="n"/>
      <c r="J162" s="26" t="n"/>
    </row>
    <row r="163">
      <c r="H163" s="26" t="n"/>
      <c r="I163" s="26" t="n"/>
      <c r="J163" s="26" t="n"/>
    </row>
    <row r="164">
      <c r="H164" s="26" t="n"/>
      <c r="I164" s="26" t="n"/>
      <c r="J164" s="26" t="n"/>
    </row>
    <row r="165">
      <c r="H165" s="26" t="n"/>
      <c r="I165" s="26" t="n"/>
      <c r="J165" s="26" t="n"/>
    </row>
    <row r="166">
      <c r="H166" s="26" t="n"/>
      <c r="I166" s="26" t="n"/>
      <c r="J166" s="26" t="n"/>
    </row>
    <row r="167">
      <c r="H167" s="26" t="n"/>
      <c r="I167" s="26" t="n"/>
      <c r="J167" s="26" t="n"/>
    </row>
    <row r="168">
      <c r="H168" s="26" t="n"/>
      <c r="I168" s="26" t="n"/>
      <c r="J168" s="26" t="n"/>
    </row>
    <row r="169">
      <c r="H169" s="26" t="n"/>
      <c r="I169" s="26" t="n"/>
      <c r="J169" s="26" t="n"/>
    </row>
    <row r="170">
      <c r="H170" s="26" t="n"/>
      <c r="I170" s="26" t="n"/>
      <c r="J170" s="26" t="n"/>
    </row>
    <row r="171">
      <c r="H171" s="26" t="n"/>
      <c r="I171" s="26" t="n"/>
      <c r="J171" s="26" t="n"/>
    </row>
    <row r="172">
      <c r="H172" s="26" t="n"/>
      <c r="I172" s="26" t="n"/>
      <c r="J172" s="26" t="n"/>
    </row>
    <row r="173">
      <c r="H173" s="26" t="n"/>
      <c r="I173" s="26" t="n"/>
      <c r="J173" s="26" t="n"/>
    </row>
    <row r="174">
      <c r="H174" s="26" t="n"/>
      <c r="I174" s="26" t="n"/>
      <c r="J174" s="26" t="n"/>
    </row>
    <row r="175">
      <c r="H175" s="26" t="n"/>
      <c r="I175" s="26" t="n"/>
      <c r="J175" s="26" t="n"/>
    </row>
    <row r="176">
      <c r="H176" s="26" t="n"/>
      <c r="I176" s="26" t="n"/>
      <c r="J176" s="26" t="n"/>
    </row>
    <row r="177">
      <c r="H177" s="26" t="n"/>
      <c r="I177" s="26" t="n"/>
      <c r="J177" s="26" t="n"/>
    </row>
    <row r="178">
      <c r="H178" s="26" t="n"/>
      <c r="I178" s="26" t="n"/>
      <c r="J178" s="26" t="n"/>
    </row>
    <row r="179">
      <c r="H179" s="26" t="n"/>
      <c r="I179" s="26" t="n"/>
      <c r="J179" s="26" t="n"/>
    </row>
    <row r="180">
      <c r="H180" s="26" t="n"/>
      <c r="I180" s="26" t="n"/>
      <c r="J180" s="26" t="n"/>
    </row>
    <row r="181">
      <c r="H181" s="26" t="n"/>
      <c r="I181" s="26" t="n"/>
      <c r="J181" s="26" t="n"/>
    </row>
    <row r="182">
      <c r="H182" s="26" t="n"/>
      <c r="I182" s="26" t="n"/>
      <c r="J182" s="26" t="n"/>
    </row>
    <row r="183">
      <c r="H183" s="26" t="n"/>
      <c r="I183" s="26" t="n"/>
      <c r="J183" s="26" t="n"/>
    </row>
    <row r="184">
      <c r="H184" s="26" t="n"/>
      <c r="I184" s="26" t="n"/>
      <c r="J184" s="26" t="n"/>
    </row>
    <row r="185">
      <c r="H185" s="26" t="n"/>
      <c r="I185" s="26" t="n"/>
      <c r="J185" s="26" t="n"/>
    </row>
    <row r="186">
      <c r="H186" s="26" t="n"/>
      <c r="I186" s="26" t="n"/>
      <c r="J186" s="26" t="n"/>
    </row>
    <row r="187">
      <c r="H187" s="26" t="n"/>
      <c r="I187" s="26" t="n"/>
      <c r="J187" s="26" t="n"/>
    </row>
    <row r="188">
      <c r="H188" s="26" t="n"/>
      <c r="I188" s="26" t="n"/>
      <c r="J188" s="26" t="n"/>
    </row>
    <row r="189">
      <c r="H189" s="26" t="n"/>
      <c r="I189" s="26" t="n"/>
      <c r="J189" s="26" t="n"/>
    </row>
    <row r="190">
      <c r="H190" s="26" t="n"/>
      <c r="I190" s="26" t="n"/>
      <c r="J190" s="26" t="n"/>
    </row>
    <row r="191">
      <c r="H191" s="26" t="n"/>
      <c r="I191" s="26" t="n"/>
      <c r="J191" s="26" t="n"/>
    </row>
    <row r="192">
      <c r="H192" s="26" t="n"/>
      <c r="I192" s="26" t="n"/>
      <c r="J192" s="26" t="n"/>
    </row>
    <row r="193">
      <c r="H193" s="26" t="n"/>
      <c r="I193" s="26" t="n"/>
      <c r="J193" s="26" t="n"/>
    </row>
    <row r="194">
      <c r="H194" s="26" t="n"/>
      <c r="I194" s="26" t="n"/>
      <c r="J194" s="26" t="n"/>
    </row>
    <row r="195">
      <c r="H195" s="26" t="n"/>
      <c r="I195" s="26" t="n"/>
      <c r="J195" s="26" t="n"/>
    </row>
    <row r="196">
      <c r="H196" s="26" t="n"/>
      <c r="I196" s="26" t="n"/>
      <c r="J196" s="26" t="n"/>
    </row>
    <row r="197">
      <c r="H197" s="26" t="n"/>
      <c r="I197" s="26" t="n"/>
      <c r="J197" s="26" t="n"/>
    </row>
    <row r="198">
      <c r="H198" s="26" t="n"/>
      <c r="I198" s="26" t="n"/>
      <c r="J198" s="26" t="n"/>
    </row>
    <row r="199">
      <c r="H199" s="26" t="n"/>
      <c r="I199" s="26" t="n"/>
      <c r="J199" s="26" t="n"/>
    </row>
    <row r="200">
      <c r="H200" s="26" t="n"/>
      <c r="I200" s="26" t="n"/>
      <c r="J200" s="26" t="n"/>
    </row>
    <row r="201">
      <c r="H201" s="26" t="n"/>
      <c r="I201" s="26" t="n"/>
      <c r="J201" s="26" t="n"/>
    </row>
    <row r="202">
      <c r="H202" s="26" t="n"/>
      <c r="I202" s="26" t="n"/>
      <c r="J202" s="26" t="n"/>
    </row>
    <row r="203">
      <c r="H203" s="26" t="n"/>
      <c r="I203" s="26" t="n"/>
      <c r="J203" s="26" t="n"/>
    </row>
    <row r="204">
      <c r="H204" s="26" t="n"/>
      <c r="I204" s="26" t="n"/>
      <c r="J204" s="26" t="n"/>
    </row>
    <row r="205">
      <c r="H205" s="26" t="n"/>
      <c r="I205" s="26" t="n"/>
      <c r="J205" s="26" t="n"/>
    </row>
    <row r="206">
      <c r="H206" s="26" t="n"/>
      <c r="I206" s="26" t="n"/>
      <c r="J206" s="26" t="n"/>
    </row>
    <row r="207">
      <c r="H207" s="26" t="n"/>
      <c r="I207" s="26" t="n"/>
      <c r="J207" s="26" t="n"/>
    </row>
    <row r="208">
      <c r="H208" s="26" t="n"/>
      <c r="I208" s="26" t="n"/>
      <c r="J208" s="26" t="n"/>
    </row>
    <row r="209">
      <c r="H209" s="26" t="n"/>
      <c r="I209" s="26" t="n"/>
      <c r="J209" s="26" t="n"/>
    </row>
    <row r="210">
      <c r="H210" s="26" t="n"/>
      <c r="I210" s="26" t="n"/>
      <c r="J210" s="26" t="n"/>
    </row>
    <row r="211">
      <c r="H211" s="26" t="n"/>
      <c r="I211" s="26" t="n"/>
      <c r="J211" s="26" t="n"/>
    </row>
    <row r="212">
      <c r="H212" s="26" t="n"/>
      <c r="I212" s="26" t="n"/>
      <c r="J212" s="26" t="n"/>
    </row>
    <row r="213">
      <c r="H213" s="26" t="n"/>
      <c r="I213" s="26" t="n"/>
      <c r="J213" s="26" t="n"/>
    </row>
    <row r="214">
      <c r="H214" s="26" t="n"/>
      <c r="I214" s="26" t="n"/>
      <c r="J214" s="26" t="n"/>
    </row>
    <row r="215">
      <c r="H215" s="26" t="n"/>
      <c r="I215" s="26" t="n"/>
      <c r="J215" s="26" t="n"/>
    </row>
    <row r="216">
      <c r="H216" s="26" t="n"/>
      <c r="I216" s="26" t="n"/>
      <c r="J216" s="26" t="n"/>
    </row>
    <row r="217">
      <c r="H217" s="26" t="n"/>
      <c r="I217" s="26" t="n"/>
      <c r="J217" s="26" t="n"/>
    </row>
    <row r="218">
      <c r="H218" s="26" t="n"/>
      <c r="I218" s="26" t="n"/>
      <c r="J218" s="26" t="n"/>
    </row>
    <row r="219">
      <c r="H219" s="26" t="n"/>
      <c r="I219" s="26" t="n"/>
      <c r="J219" s="26" t="n"/>
    </row>
    <row r="220">
      <c r="H220" s="26" t="n"/>
      <c r="I220" s="26" t="n"/>
      <c r="J220" s="26" t="n"/>
    </row>
    <row r="221">
      <c r="H221" s="26" t="n"/>
      <c r="I221" s="26" t="n"/>
      <c r="J221" s="26" t="n"/>
    </row>
    <row r="222">
      <c r="H222" s="26" t="n"/>
      <c r="I222" s="26" t="n"/>
      <c r="J222" s="26" t="n"/>
    </row>
    <row r="223">
      <c r="H223" s="26" t="n"/>
      <c r="I223" s="26" t="n"/>
      <c r="J223" s="26" t="n"/>
    </row>
    <row r="224">
      <c r="H224" s="26" t="n"/>
      <c r="I224" s="26" t="n"/>
      <c r="J224" s="26" t="n"/>
    </row>
    <row r="225">
      <c r="H225" s="26" t="n"/>
      <c r="I225" s="26" t="n"/>
      <c r="J225" s="26" t="n"/>
    </row>
    <row r="226">
      <c r="H226" s="26" t="n"/>
      <c r="I226" s="26" t="n"/>
      <c r="J226" s="26" t="n"/>
    </row>
    <row r="227">
      <c r="H227" s="26" t="n"/>
      <c r="I227" s="26" t="n"/>
      <c r="J227" s="26" t="n"/>
    </row>
    <row r="228">
      <c r="H228" s="26" t="n"/>
      <c r="I228" s="26" t="n"/>
      <c r="J228" s="26" t="n"/>
    </row>
    <row r="229">
      <c r="H229" s="26" t="n"/>
      <c r="I229" s="26" t="n"/>
      <c r="J229" s="26" t="n"/>
    </row>
    <row r="230">
      <c r="H230" s="26" t="n"/>
      <c r="I230" s="26" t="n"/>
      <c r="J230" s="26" t="n"/>
    </row>
    <row r="231">
      <c r="H231" s="26" t="n"/>
      <c r="I231" s="26" t="n"/>
      <c r="J231" s="26" t="n"/>
    </row>
    <row r="232">
      <c r="H232" s="26" t="n"/>
      <c r="I232" s="26" t="n"/>
      <c r="J232" s="26" t="n"/>
    </row>
    <row r="233">
      <c r="H233" s="26" t="n"/>
      <c r="I233" s="26" t="n"/>
      <c r="J233" s="26" t="n"/>
    </row>
    <row r="234">
      <c r="H234" s="26" t="n"/>
      <c r="I234" s="26" t="n"/>
      <c r="J234" s="26" t="n"/>
    </row>
    <row r="235">
      <c r="H235" s="26" t="n"/>
      <c r="I235" s="26" t="n"/>
      <c r="J235" s="26" t="n"/>
    </row>
    <row r="236">
      <c r="H236" s="26" t="n"/>
      <c r="I236" s="26" t="n"/>
      <c r="J236" s="26" t="n"/>
    </row>
    <row r="237">
      <c r="H237" s="26" t="n"/>
      <c r="I237" s="26" t="n"/>
      <c r="J237" s="26" t="n"/>
    </row>
    <row r="238">
      <c r="H238" s="26" t="n"/>
      <c r="I238" s="26" t="n"/>
      <c r="J238" s="26" t="n"/>
    </row>
    <row r="239">
      <c r="H239" s="26" t="n"/>
      <c r="I239" s="26" t="n"/>
      <c r="J239" s="26" t="n"/>
    </row>
    <row r="240">
      <c r="H240" s="26" t="n"/>
      <c r="I240" s="26" t="n"/>
      <c r="J240" s="26" t="n"/>
    </row>
    <row r="241">
      <c r="H241" s="26" t="n"/>
      <c r="I241" s="26" t="n"/>
      <c r="J241" s="26" t="n"/>
    </row>
    <row r="242">
      <c r="H242" s="26" t="n"/>
      <c r="I242" s="26" t="n"/>
      <c r="J242" s="26" t="n"/>
    </row>
    <row r="243">
      <c r="H243" s="26" t="n"/>
      <c r="I243" s="26" t="n"/>
      <c r="J243" s="26" t="n"/>
    </row>
    <row r="244">
      <c r="H244" s="26" t="n"/>
      <c r="I244" s="26" t="n"/>
      <c r="J244" s="26" t="n"/>
    </row>
    <row r="245">
      <c r="H245" s="26" t="n"/>
      <c r="I245" s="26" t="n"/>
      <c r="J245" s="26" t="n"/>
    </row>
    <row r="246">
      <c r="H246" s="26" t="n"/>
      <c r="I246" s="26" t="n"/>
      <c r="J246" s="26" t="n"/>
    </row>
    <row r="247">
      <c r="H247" s="26" t="n"/>
      <c r="I247" s="26" t="n"/>
      <c r="J247" s="26" t="n"/>
    </row>
    <row r="248">
      <c r="H248" s="26" t="n"/>
      <c r="I248" s="26" t="n"/>
      <c r="J248" s="26" t="n"/>
    </row>
    <row r="249">
      <c r="H249" s="26" t="n"/>
      <c r="I249" s="26" t="n"/>
      <c r="J249" s="26" t="n"/>
    </row>
    <row r="250">
      <c r="H250" s="26" t="n"/>
      <c r="I250" s="26" t="n"/>
      <c r="J250" s="26" t="n"/>
    </row>
    <row r="251">
      <c r="H251" s="26" t="n"/>
      <c r="I251" s="26" t="n"/>
      <c r="J251" s="26" t="n"/>
    </row>
    <row r="252">
      <c r="H252" s="26" t="n"/>
      <c r="I252" s="26" t="n"/>
      <c r="J252" s="26" t="n"/>
    </row>
    <row r="253">
      <c r="H253" s="26" t="n"/>
      <c r="I253" s="26" t="n"/>
      <c r="J253" s="26" t="n"/>
    </row>
    <row r="254">
      <c r="H254" s="26" t="n"/>
      <c r="I254" s="26" t="n"/>
      <c r="J254" s="26" t="n"/>
    </row>
    <row r="255">
      <c r="H255" s="26" t="n"/>
      <c r="I255" s="26" t="n"/>
      <c r="J255" s="26" t="n"/>
    </row>
    <row r="256">
      <c r="H256" s="26" t="n"/>
      <c r="I256" s="26" t="n"/>
      <c r="J256" s="26" t="n"/>
    </row>
    <row r="257">
      <c r="H257" s="26" t="n"/>
      <c r="I257" s="26" t="n"/>
      <c r="J257" s="26" t="n"/>
    </row>
    <row r="258">
      <c r="H258" s="26" t="n"/>
      <c r="I258" s="26" t="n"/>
      <c r="J258" s="26" t="n"/>
    </row>
    <row r="259">
      <c r="H259" s="26" t="n"/>
      <c r="I259" s="26" t="n"/>
      <c r="J259" s="26" t="n"/>
    </row>
    <row r="260">
      <c r="H260" s="26" t="n"/>
      <c r="I260" s="26" t="n"/>
      <c r="J260" s="26" t="n"/>
    </row>
    <row r="261">
      <c r="H261" s="26" t="n"/>
      <c r="I261" s="26" t="n"/>
      <c r="J261" s="26" t="n"/>
    </row>
    <row r="262">
      <c r="H262" s="26" t="n"/>
      <c r="I262" s="26" t="n"/>
      <c r="J262" s="26" t="n"/>
    </row>
    <row r="263">
      <c r="H263" s="26" t="n"/>
      <c r="I263" s="26" t="n"/>
      <c r="J263" s="26" t="n"/>
    </row>
    <row r="264">
      <c r="H264" s="26" t="n"/>
      <c r="I264" s="26" t="n"/>
      <c r="J264" s="26" t="n"/>
    </row>
    <row r="265">
      <c r="H265" s="26" t="n"/>
      <c r="I265" s="26" t="n"/>
      <c r="J265" s="26" t="n"/>
    </row>
    <row r="266">
      <c r="H266" s="26" t="n"/>
      <c r="I266" s="26" t="n"/>
      <c r="J266" s="26" t="n"/>
    </row>
    <row r="267">
      <c r="H267" s="26" t="n"/>
      <c r="I267" s="26" t="n"/>
      <c r="J267" s="26" t="n"/>
    </row>
    <row r="268">
      <c r="H268" s="26" t="n"/>
      <c r="I268" s="26" t="n"/>
      <c r="J268" s="26" t="n"/>
    </row>
    <row r="269">
      <c r="H269" s="26" t="n"/>
      <c r="I269" s="26" t="n"/>
      <c r="J269" s="26" t="n"/>
    </row>
    <row r="270">
      <c r="H270" s="26" t="n"/>
      <c r="I270" s="26" t="n"/>
      <c r="J270" s="26" t="n"/>
    </row>
    <row r="271">
      <c r="H271" s="26" t="n"/>
      <c r="I271" s="26" t="n"/>
      <c r="J271" s="26" t="n"/>
    </row>
    <row r="272">
      <c r="H272" s="26" t="n"/>
      <c r="I272" s="26" t="n"/>
      <c r="J272" s="26" t="n"/>
    </row>
    <row r="273">
      <c r="H273" s="26" t="n"/>
      <c r="I273" s="26" t="n"/>
      <c r="J273" s="26" t="n"/>
    </row>
    <row r="274">
      <c r="H274" s="26" t="n"/>
      <c r="I274" s="26" t="n"/>
      <c r="J274" s="26" t="n"/>
    </row>
    <row r="275">
      <c r="H275" s="26" t="n"/>
      <c r="I275" s="26" t="n"/>
      <c r="J275" s="26" t="n"/>
    </row>
    <row r="276">
      <c r="H276" s="26" t="n"/>
      <c r="I276" s="26" t="n"/>
      <c r="J276" s="26" t="n"/>
    </row>
    <row r="277">
      <c r="H277" s="26" t="n"/>
      <c r="I277" s="26" t="n"/>
      <c r="J277" s="26" t="n"/>
    </row>
    <row r="278">
      <c r="H278" s="26" t="n"/>
      <c r="I278" s="26" t="n"/>
      <c r="J278" s="26" t="n"/>
    </row>
    <row r="279">
      <c r="H279" s="26" t="n"/>
      <c r="I279" s="26" t="n"/>
      <c r="J279" s="26" t="n"/>
    </row>
    <row r="280">
      <c r="H280" s="26" t="n"/>
      <c r="I280" s="26" t="n"/>
      <c r="J280" s="26" t="n"/>
    </row>
    <row r="281">
      <c r="H281" s="26" t="n"/>
      <c r="I281" s="26" t="n"/>
      <c r="J281" s="26" t="n"/>
    </row>
    <row r="282">
      <c r="H282" s="26" t="n"/>
      <c r="I282" s="26" t="n"/>
      <c r="J282" s="26" t="n"/>
    </row>
    <row r="283">
      <c r="H283" s="26" t="n"/>
      <c r="I283" s="26" t="n"/>
      <c r="J283" s="26" t="n"/>
    </row>
    <row r="284">
      <c r="H284" s="26" t="n"/>
      <c r="I284" s="26" t="n"/>
      <c r="J284" s="26" t="n"/>
    </row>
    <row r="285">
      <c r="H285" s="26" t="n"/>
      <c r="I285" s="26" t="n"/>
      <c r="J285" s="26" t="n"/>
    </row>
    <row r="286">
      <c r="H286" s="26" t="n"/>
      <c r="I286" s="26" t="n"/>
      <c r="J286" s="26" t="n"/>
    </row>
    <row r="287">
      <c r="H287" s="26" t="n"/>
      <c r="I287" s="26" t="n"/>
      <c r="J287" s="26" t="n"/>
    </row>
    <row r="288">
      <c r="H288" s="26" t="n"/>
      <c r="I288" s="26" t="n"/>
      <c r="J288" s="26" t="n"/>
    </row>
    <row r="289">
      <c r="H289" s="26" t="n"/>
      <c r="I289" s="26" t="n"/>
      <c r="J289" s="26" t="n"/>
    </row>
    <row r="290">
      <c r="H290" s="26" t="n"/>
      <c r="I290" s="26" t="n"/>
      <c r="J290" s="26" t="n"/>
    </row>
    <row r="291">
      <c r="H291" s="26" t="n"/>
      <c r="I291" s="26" t="n"/>
      <c r="J291" s="26" t="n"/>
    </row>
    <row r="292">
      <c r="H292" s="26" t="n"/>
      <c r="I292" s="26" t="n"/>
      <c r="J292" s="26" t="n"/>
    </row>
    <row r="293">
      <c r="H293" s="26" t="n"/>
      <c r="I293" s="26" t="n"/>
      <c r="J293" s="26" t="n"/>
    </row>
    <row r="294">
      <c r="H294" s="26" t="n"/>
      <c r="I294" s="26" t="n"/>
      <c r="J294" s="26" t="n"/>
    </row>
    <row r="295">
      <c r="H295" s="26" t="n"/>
      <c r="I295" s="26" t="n"/>
      <c r="J295" s="26" t="n"/>
    </row>
    <row r="296">
      <c r="H296" s="26" t="n"/>
      <c r="I296" s="26" t="n"/>
      <c r="J296" s="26" t="n"/>
    </row>
    <row r="297">
      <c r="H297" s="26" t="n"/>
      <c r="I297" s="26" t="n"/>
      <c r="J297" s="26" t="n"/>
    </row>
    <row r="298">
      <c r="H298" s="26" t="n"/>
      <c r="I298" s="26" t="n"/>
      <c r="J298" s="26" t="n"/>
    </row>
    <row r="299">
      <c r="H299" s="26" t="n"/>
      <c r="I299" s="26" t="n"/>
      <c r="J299" s="26" t="n"/>
    </row>
    <row r="300">
      <c r="H300" s="26" t="n"/>
      <c r="I300" s="26" t="n"/>
      <c r="J300" s="26" t="n"/>
    </row>
    <row r="301">
      <c r="H301" s="26" t="n"/>
      <c r="I301" s="26" t="n"/>
      <c r="J301" s="26" t="n"/>
    </row>
    <row r="302">
      <c r="H302" s="26" t="n"/>
      <c r="I302" s="26" t="n"/>
      <c r="J302" s="26" t="n"/>
    </row>
    <row r="303">
      <c r="H303" s="26" t="n"/>
      <c r="I303" s="26" t="n"/>
      <c r="J303" s="26" t="n"/>
    </row>
    <row r="304">
      <c r="H304" s="26" t="n"/>
      <c r="I304" s="26" t="n"/>
      <c r="J304" s="26" t="n"/>
    </row>
    <row r="305">
      <c r="H305" s="26" t="n"/>
      <c r="I305" s="26" t="n"/>
      <c r="J305" s="26" t="n"/>
    </row>
    <row r="306">
      <c r="H306" s="26" t="n"/>
      <c r="I306" s="26" t="n"/>
      <c r="J306" s="26" t="n"/>
    </row>
    <row r="307">
      <c r="H307" s="26" t="n"/>
      <c r="I307" s="26" t="n"/>
      <c r="J307" s="26" t="n"/>
    </row>
    <row r="308">
      <c r="H308" s="26" t="n"/>
      <c r="I308" s="26" t="n"/>
      <c r="J308" s="26" t="n"/>
    </row>
    <row r="309">
      <c r="H309" s="26" t="n"/>
      <c r="I309" s="26" t="n"/>
      <c r="J309" s="26" t="n"/>
    </row>
    <row r="310">
      <c r="H310" s="26" t="n"/>
      <c r="I310" s="26" t="n"/>
      <c r="J310" s="26" t="n"/>
    </row>
    <row r="311">
      <c r="H311" s="26" t="n"/>
      <c r="I311" s="26" t="n"/>
      <c r="J311" s="26" t="n"/>
    </row>
    <row r="312">
      <c r="H312" s="26" t="n"/>
      <c r="I312" s="26" t="n"/>
      <c r="J312" s="26" t="n"/>
    </row>
    <row r="313">
      <c r="H313" s="26" t="n"/>
      <c r="I313" s="26" t="n"/>
      <c r="J313" s="26" t="n"/>
    </row>
    <row r="314">
      <c r="H314" s="26" t="n"/>
      <c r="I314" s="26" t="n"/>
      <c r="J314" s="26" t="n"/>
    </row>
    <row r="315">
      <c r="H315" s="26" t="n"/>
      <c r="I315" s="26" t="n"/>
      <c r="J315" s="26" t="n"/>
    </row>
    <row r="316">
      <c r="H316" s="26" t="n"/>
      <c r="I316" s="26" t="n"/>
      <c r="J316" s="26" t="n"/>
    </row>
    <row r="317">
      <c r="H317" s="26" t="n"/>
      <c r="I317" s="26" t="n"/>
      <c r="J317" s="26" t="n"/>
    </row>
    <row r="318">
      <c r="H318" s="26" t="n"/>
      <c r="I318" s="26" t="n"/>
      <c r="J318" s="26" t="n"/>
    </row>
    <row r="319">
      <c r="H319" s="26" t="n"/>
      <c r="I319" s="26" t="n"/>
      <c r="J319" s="26" t="n"/>
    </row>
    <row r="320">
      <c r="H320" s="26" t="n"/>
      <c r="I320" s="26" t="n"/>
      <c r="J320" s="26" t="n"/>
    </row>
    <row r="321">
      <c r="H321" s="26" t="n"/>
      <c r="I321" s="26" t="n"/>
      <c r="J321" s="26" t="n"/>
    </row>
    <row r="322">
      <c r="H322" s="26" t="n"/>
      <c r="I322" s="26" t="n"/>
      <c r="J322" s="26" t="n"/>
    </row>
    <row r="323">
      <c r="H323" s="26" t="n"/>
      <c r="I323" s="26" t="n"/>
      <c r="J323" s="26" t="n"/>
    </row>
    <row r="324">
      <c r="H324" s="26" t="n"/>
      <c r="I324" s="26" t="n"/>
      <c r="J324" s="26" t="n"/>
    </row>
    <row r="325">
      <c r="H325" s="26" t="n"/>
      <c r="I325" s="26" t="n"/>
      <c r="J325" s="26" t="n"/>
    </row>
    <row r="326">
      <c r="H326" s="26" t="n"/>
      <c r="I326" s="26" t="n"/>
      <c r="J326" s="26" t="n"/>
    </row>
    <row r="327">
      <c r="H327" s="26" t="n"/>
      <c r="I327" s="26" t="n"/>
      <c r="J327" s="26" t="n"/>
    </row>
    <row r="328">
      <c r="H328" s="26" t="n"/>
      <c r="I328" s="26" t="n"/>
      <c r="J328" s="26" t="n"/>
    </row>
    <row r="329">
      <c r="H329" s="26" t="n"/>
      <c r="I329" s="26" t="n"/>
      <c r="J329" s="26" t="n"/>
    </row>
    <row r="330">
      <c r="H330" s="26" t="n"/>
      <c r="I330" s="26" t="n"/>
      <c r="J330" s="26" t="n"/>
    </row>
    <row r="331">
      <c r="H331" s="26" t="n"/>
      <c r="I331" s="26" t="n"/>
      <c r="J331" s="26" t="n"/>
    </row>
    <row r="332">
      <c r="H332" s="26" t="n"/>
      <c r="I332" s="26" t="n"/>
      <c r="J332" s="26" t="n"/>
    </row>
    <row r="333">
      <c r="H333" s="26" t="n"/>
      <c r="I333" s="26" t="n"/>
      <c r="J333" s="26" t="n"/>
    </row>
    <row r="334">
      <c r="H334" s="26" t="n"/>
      <c r="I334" s="26" t="n"/>
      <c r="J334" s="26" t="n"/>
    </row>
    <row r="335">
      <c r="H335" s="26" t="n"/>
      <c r="I335" s="26" t="n"/>
      <c r="J335" s="26" t="n"/>
    </row>
    <row r="336">
      <c r="H336" s="26" t="n"/>
      <c r="I336" s="26" t="n"/>
      <c r="J336" s="26" t="n"/>
    </row>
    <row r="337">
      <c r="H337" s="26" t="n"/>
      <c r="I337" s="26" t="n"/>
      <c r="J337" s="26" t="n"/>
    </row>
    <row r="338">
      <c r="H338" s="26" t="n"/>
      <c r="I338" s="26" t="n"/>
      <c r="J338" s="26" t="n"/>
    </row>
    <row r="339">
      <c r="H339" s="26" t="n"/>
      <c r="I339" s="26" t="n"/>
      <c r="J339" s="26" t="n"/>
    </row>
    <row r="340">
      <c r="H340" s="26" t="n"/>
      <c r="I340" s="26" t="n"/>
      <c r="J340" s="26" t="n"/>
    </row>
    <row r="341">
      <c r="H341" s="26" t="n"/>
      <c r="I341" s="26" t="n"/>
      <c r="J341" s="26" t="n"/>
    </row>
    <row r="342">
      <c r="H342" s="26" t="n"/>
      <c r="I342" s="26" t="n"/>
      <c r="J342" s="26" t="n"/>
    </row>
    <row r="343">
      <c r="H343" s="26" t="n"/>
      <c r="I343" s="26" t="n"/>
      <c r="J343" s="26" t="n"/>
    </row>
    <row r="344">
      <c r="H344" s="26" t="n"/>
      <c r="I344" s="26" t="n"/>
      <c r="J344" s="26" t="n"/>
    </row>
    <row r="345">
      <c r="H345" s="26" t="n"/>
      <c r="I345" s="26" t="n"/>
      <c r="J345" s="26" t="n"/>
    </row>
    <row r="346">
      <c r="H346" s="26" t="n"/>
      <c r="I346" s="26" t="n"/>
      <c r="J346" s="26" t="n"/>
    </row>
    <row r="347">
      <c r="H347" s="26" t="n"/>
      <c r="I347" s="26" t="n"/>
      <c r="J347" s="26" t="n"/>
    </row>
    <row r="348">
      <c r="H348" s="26" t="n"/>
      <c r="I348" s="26" t="n"/>
      <c r="J348" s="26" t="n"/>
    </row>
    <row r="349">
      <c r="H349" s="26" t="n"/>
      <c r="I349" s="26" t="n"/>
      <c r="J349" s="26" t="n"/>
    </row>
    <row r="350">
      <c r="H350" s="26" t="n"/>
      <c r="I350" s="26" t="n"/>
      <c r="J350" s="26" t="n"/>
    </row>
    <row r="351">
      <c r="H351" s="26" t="n"/>
      <c r="I351" s="26" t="n"/>
      <c r="J351" s="26" t="n"/>
    </row>
    <row r="352">
      <c r="H352" s="26" t="n"/>
      <c r="I352" s="26" t="n"/>
      <c r="J352" s="26" t="n"/>
    </row>
    <row r="353">
      <c r="H353" s="26" t="n"/>
      <c r="I353" s="26" t="n"/>
      <c r="J353" s="26" t="n"/>
    </row>
    <row r="354">
      <c r="H354" s="26" t="n"/>
      <c r="I354" s="26" t="n"/>
      <c r="J354" s="26" t="n"/>
    </row>
    <row r="355">
      <c r="H355" s="26" t="n"/>
      <c r="I355" s="26" t="n"/>
      <c r="J355" s="26" t="n"/>
    </row>
    <row r="356">
      <c r="H356" s="26" t="n"/>
      <c r="I356" s="26" t="n"/>
      <c r="J356" s="26" t="n"/>
    </row>
    <row r="357">
      <c r="H357" s="26" t="n"/>
      <c r="I357" s="26" t="n"/>
      <c r="J357" s="26" t="n"/>
    </row>
    <row r="358">
      <c r="H358" s="26" t="n"/>
      <c r="I358" s="26" t="n"/>
      <c r="J358" s="26" t="n"/>
    </row>
    <row r="359">
      <c r="H359" s="26" t="n"/>
      <c r="I359" s="26" t="n"/>
      <c r="J359" s="26" t="n"/>
    </row>
    <row r="360">
      <c r="H360" s="26" t="n"/>
      <c r="I360" s="26" t="n"/>
      <c r="J360" s="26" t="n"/>
    </row>
    <row r="361">
      <c r="H361" s="26" t="n"/>
      <c r="I361" s="26" t="n"/>
      <c r="J361" s="26" t="n"/>
    </row>
    <row r="362">
      <c r="H362" s="26" t="n"/>
      <c r="I362" s="26" t="n"/>
      <c r="J362" s="26" t="n"/>
    </row>
    <row r="363">
      <c r="H363" s="26" t="n"/>
      <c r="I363" s="26" t="n"/>
      <c r="J363" s="26" t="n"/>
    </row>
    <row r="364">
      <c r="H364" s="26" t="n"/>
      <c r="I364" s="26" t="n"/>
      <c r="J364" s="26" t="n"/>
    </row>
    <row r="365">
      <c r="H365" s="26" t="n"/>
      <c r="I365" s="26" t="n"/>
      <c r="J365" s="26" t="n"/>
    </row>
    <row r="366">
      <c r="H366" s="26" t="n"/>
      <c r="I366" s="26" t="n"/>
      <c r="J366" s="26" t="n"/>
    </row>
    <row r="367">
      <c r="H367" s="26" t="n"/>
      <c r="I367" s="26" t="n"/>
      <c r="J367" s="26" t="n"/>
    </row>
    <row r="368">
      <c r="H368" s="26" t="n"/>
      <c r="I368" s="26" t="n"/>
      <c r="J368" s="26" t="n"/>
    </row>
    <row r="369">
      <c r="H369" s="26" t="n"/>
      <c r="I369" s="26" t="n"/>
      <c r="J369" s="26" t="n"/>
    </row>
    <row r="370">
      <c r="H370" s="26" t="n"/>
      <c r="I370" s="26" t="n"/>
      <c r="J370" s="26" t="n"/>
    </row>
    <row r="371">
      <c r="H371" s="26" t="n"/>
      <c r="I371" s="26" t="n"/>
      <c r="J371" s="26" t="n"/>
    </row>
    <row r="372">
      <c r="H372" s="26" t="n"/>
      <c r="I372" s="26" t="n"/>
      <c r="J372" s="26" t="n"/>
    </row>
    <row r="373">
      <c r="H373" s="26" t="n"/>
      <c r="I373" s="26" t="n"/>
      <c r="J373" s="26" t="n"/>
    </row>
    <row r="374">
      <c r="H374" s="26" t="n"/>
      <c r="I374" s="26" t="n"/>
      <c r="J374" s="26" t="n"/>
    </row>
    <row r="375">
      <c r="H375" s="26" t="n"/>
      <c r="I375" s="26" t="n"/>
      <c r="J375" s="26" t="n"/>
    </row>
    <row r="376">
      <c r="H376" s="26" t="n"/>
      <c r="I376" s="26" t="n"/>
      <c r="J376" s="26" t="n"/>
    </row>
    <row r="377">
      <c r="H377" s="26" t="n"/>
      <c r="I377" s="26" t="n"/>
      <c r="J377" s="26" t="n"/>
    </row>
    <row r="378">
      <c r="H378" s="26" t="n"/>
      <c r="I378" s="26" t="n"/>
      <c r="J378" s="26" t="n"/>
    </row>
    <row r="379">
      <c r="H379" s="26" t="n"/>
      <c r="I379" s="26" t="n"/>
      <c r="J379" s="26" t="n"/>
    </row>
    <row r="380">
      <c r="H380" s="26" t="n"/>
      <c r="I380" s="26" t="n"/>
      <c r="J380" s="26" t="n"/>
    </row>
    <row r="381">
      <c r="H381" s="26" t="n"/>
      <c r="I381" s="26" t="n"/>
      <c r="J381" s="26" t="n"/>
    </row>
    <row r="382">
      <c r="H382" s="26" t="n"/>
      <c r="I382" s="26" t="n"/>
      <c r="J382" s="26" t="n"/>
    </row>
    <row r="383">
      <c r="H383" s="26" t="n"/>
      <c r="I383" s="26" t="n"/>
      <c r="J383" s="26" t="n"/>
    </row>
    <row r="384">
      <c r="H384" s="26" t="n"/>
      <c r="I384" s="26" t="n"/>
      <c r="J384" s="26" t="n"/>
    </row>
    <row r="385">
      <c r="H385" s="26" t="n"/>
      <c r="I385" s="26" t="n"/>
      <c r="J385" s="26" t="n"/>
    </row>
    <row r="386">
      <c r="H386" s="26" t="n"/>
      <c r="I386" s="26" t="n"/>
      <c r="J386" s="26" t="n"/>
    </row>
    <row r="387">
      <c r="H387" s="26" t="n"/>
      <c r="I387" s="26" t="n"/>
      <c r="J387" s="26" t="n"/>
    </row>
    <row r="388">
      <c r="H388" s="26" t="n"/>
      <c r="I388" s="26" t="n"/>
      <c r="J388" s="26" t="n"/>
    </row>
    <row r="389">
      <c r="H389" s="26" t="n"/>
      <c r="I389" s="26" t="n"/>
      <c r="J389" s="26" t="n"/>
    </row>
    <row r="390">
      <c r="H390" s="26" t="n"/>
      <c r="I390" s="26" t="n"/>
      <c r="J390" s="26" t="n"/>
    </row>
    <row r="391">
      <c r="H391" s="26" t="n"/>
      <c r="I391" s="26" t="n"/>
      <c r="J391" s="26" t="n"/>
    </row>
    <row r="392">
      <c r="H392" s="26" t="n"/>
      <c r="I392" s="26" t="n"/>
      <c r="J392" s="26" t="n"/>
    </row>
    <row r="393">
      <c r="H393" s="26" t="n"/>
      <c r="I393" s="26" t="n"/>
      <c r="J393" s="26" t="n"/>
    </row>
    <row r="394">
      <c r="H394" s="26" t="n"/>
      <c r="I394" s="26" t="n"/>
      <c r="J394" s="26" t="n"/>
    </row>
    <row r="395">
      <c r="H395" s="26" t="n"/>
      <c r="I395" s="26" t="n"/>
      <c r="J395" s="26" t="n"/>
    </row>
    <row r="396">
      <c r="H396" s="26" t="n"/>
      <c r="I396" s="26" t="n"/>
      <c r="J396" s="26" t="n"/>
    </row>
    <row r="397">
      <c r="H397" s="26" t="n"/>
      <c r="I397" s="26" t="n"/>
      <c r="J397" s="26" t="n"/>
    </row>
    <row r="398">
      <c r="H398" s="26" t="n"/>
      <c r="I398" s="26" t="n"/>
      <c r="J398" s="26" t="n"/>
    </row>
    <row r="399">
      <c r="H399" s="26" t="n"/>
      <c r="I399" s="26" t="n"/>
      <c r="J399" s="26" t="n"/>
    </row>
    <row r="400">
      <c r="H400" s="26" t="n"/>
      <c r="I400" s="26" t="n"/>
      <c r="J400" s="26" t="n"/>
    </row>
    <row r="401">
      <c r="H401" s="26" t="n"/>
      <c r="I401" s="26" t="n"/>
      <c r="J401" s="26" t="n"/>
    </row>
    <row r="402">
      <c r="H402" s="26" t="n"/>
      <c r="I402" s="26" t="n"/>
      <c r="J402" s="26" t="n"/>
    </row>
    <row r="403">
      <c r="H403" s="26" t="n"/>
      <c r="I403" s="26" t="n"/>
      <c r="J403" s="26" t="n"/>
    </row>
    <row r="404">
      <c r="H404" s="26" t="n"/>
      <c r="I404" s="26" t="n"/>
      <c r="J404" s="26" t="n"/>
    </row>
    <row r="405">
      <c r="H405" s="26" t="n"/>
      <c r="I405" s="26" t="n"/>
      <c r="J405" s="26" t="n"/>
    </row>
    <row r="406">
      <c r="H406" s="26" t="n"/>
      <c r="I406" s="26" t="n"/>
      <c r="J406" s="26" t="n"/>
    </row>
    <row r="407">
      <c r="H407" s="26" t="n"/>
      <c r="I407" s="26" t="n"/>
      <c r="J407" s="26" t="n"/>
    </row>
    <row r="408">
      <c r="H408" s="26" t="n"/>
      <c r="I408" s="26" t="n"/>
      <c r="J408" s="26" t="n"/>
    </row>
    <row r="409">
      <c r="H409" s="26" t="n"/>
      <c r="I409" s="26" t="n"/>
      <c r="J409" s="26" t="n"/>
    </row>
    <row r="410">
      <c r="H410" s="26" t="n"/>
      <c r="I410" s="26" t="n"/>
      <c r="J410" s="26" t="n"/>
    </row>
    <row r="411">
      <c r="H411" s="26" t="n"/>
      <c r="I411" s="26" t="n"/>
      <c r="J411" s="26" t="n"/>
    </row>
    <row r="412">
      <c r="H412" s="26" t="n"/>
      <c r="I412" s="26" t="n"/>
      <c r="J412" s="26" t="n"/>
    </row>
    <row r="413">
      <c r="H413" s="26" t="n"/>
      <c r="I413" s="26" t="n"/>
      <c r="J413" s="26" t="n"/>
    </row>
    <row r="414">
      <c r="H414" s="26" t="n"/>
      <c r="I414" s="26" t="n"/>
      <c r="J414" s="26" t="n"/>
    </row>
    <row r="415">
      <c r="H415" s="26" t="n"/>
      <c r="I415" s="26" t="n"/>
      <c r="J415" s="26" t="n"/>
    </row>
    <row r="416">
      <c r="H416" s="26" t="n"/>
      <c r="I416" s="26" t="n"/>
      <c r="J416" s="26" t="n"/>
    </row>
    <row r="417">
      <c r="H417" s="26" t="n"/>
      <c r="I417" s="26" t="n"/>
      <c r="J417" s="26" t="n"/>
    </row>
    <row r="418">
      <c r="H418" s="26" t="n"/>
      <c r="I418" s="26" t="n"/>
      <c r="J418" s="26" t="n"/>
    </row>
    <row r="419">
      <c r="H419" s="26" t="n"/>
      <c r="I419" s="26" t="n"/>
      <c r="J419" s="26" t="n"/>
    </row>
    <row r="420">
      <c r="H420" s="26" t="n"/>
      <c r="I420" s="26" t="n"/>
      <c r="J420" s="26" t="n"/>
    </row>
    <row r="421">
      <c r="H421" s="26" t="n"/>
      <c r="I421" s="26" t="n"/>
      <c r="J421" s="26" t="n"/>
    </row>
    <row r="422">
      <c r="H422" s="26" t="n"/>
      <c r="I422" s="26" t="n"/>
      <c r="J422" s="26" t="n"/>
    </row>
    <row r="423">
      <c r="H423" s="26" t="n"/>
      <c r="I423" s="26" t="n"/>
      <c r="J423" s="26" t="n"/>
    </row>
    <row r="424">
      <c r="H424" s="26" t="n"/>
      <c r="I424" s="26" t="n"/>
      <c r="J424" s="26" t="n"/>
    </row>
    <row r="425">
      <c r="H425" s="26" t="n"/>
      <c r="I425" s="26" t="n"/>
      <c r="J425" s="26" t="n"/>
    </row>
    <row r="426">
      <c r="H426" s="26" t="n"/>
      <c r="I426" s="26" t="n"/>
      <c r="J426" s="26" t="n"/>
    </row>
    <row r="427">
      <c r="H427" s="26" t="n"/>
      <c r="I427" s="26" t="n"/>
      <c r="J427" s="26" t="n"/>
    </row>
    <row r="428">
      <c r="H428" s="26" t="n"/>
      <c r="I428" s="26" t="n"/>
      <c r="J428" s="26" t="n"/>
    </row>
    <row r="429">
      <c r="H429" s="26" t="n"/>
      <c r="I429" s="26" t="n"/>
      <c r="J429" s="26" t="n"/>
    </row>
    <row r="430">
      <c r="H430" s="26" t="n"/>
      <c r="I430" s="26" t="n"/>
      <c r="J430" s="26" t="n"/>
    </row>
    <row r="431">
      <c r="H431" s="26" t="n"/>
      <c r="I431" s="26" t="n"/>
      <c r="J431" s="26" t="n"/>
    </row>
    <row r="432">
      <c r="H432" s="26" t="n"/>
      <c r="I432" s="26" t="n"/>
      <c r="J432" s="26" t="n"/>
    </row>
    <row r="433">
      <c r="H433" s="26" t="n"/>
      <c r="I433" s="26" t="n"/>
      <c r="J433" s="26" t="n"/>
    </row>
    <row r="434">
      <c r="H434" s="26" t="n"/>
      <c r="I434" s="26" t="n"/>
      <c r="J434" s="26" t="n"/>
    </row>
    <row r="435">
      <c r="H435" s="26" t="n"/>
      <c r="I435" s="26" t="n"/>
      <c r="J435" s="26" t="n"/>
    </row>
    <row r="436">
      <c r="H436" s="26" t="n"/>
      <c r="I436" s="26" t="n"/>
      <c r="J436" s="26" t="n"/>
    </row>
    <row r="437">
      <c r="H437" s="26" t="n"/>
      <c r="I437" s="26" t="n"/>
      <c r="J437" s="26" t="n"/>
    </row>
    <row r="438">
      <c r="H438" s="26" t="n"/>
      <c r="I438" s="26" t="n"/>
      <c r="J438" s="26" t="n"/>
    </row>
    <row r="439">
      <c r="H439" s="26" t="n"/>
      <c r="I439" s="26" t="n"/>
      <c r="J439" s="26" t="n"/>
    </row>
    <row r="440">
      <c r="H440" s="26" t="n"/>
      <c r="I440" s="26" t="n"/>
      <c r="J440" s="26" t="n"/>
    </row>
    <row r="441">
      <c r="H441" s="26" t="n"/>
      <c r="I441" s="26" t="n"/>
      <c r="J441" s="26" t="n"/>
    </row>
    <row r="442">
      <c r="H442" s="26" t="n"/>
      <c r="I442" s="26" t="n"/>
      <c r="J442" s="26" t="n"/>
    </row>
    <row r="443">
      <c r="H443" s="26" t="n"/>
      <c r="I443" s="26" t="n"/>
      <c r="J443" s="26" t="n"/>
    </row>
    <row r="444">
      <c r="H444" s="26" t="n"/>
      <c r="I444" s="26" t="n"/>
      <c r="J444" s="26" t="n"/>
    </row>
    <row r="445">
      <c r="H445" s="26" t="n"/>
      <c r="I445" s="26" t="n"/>
      <c r="J445" s="26" t="n"/>
    </row>
    <row r="446">
      <c r="H446" s="26" t="n"/>
      <c r="I446" s="26" t="n"/>
      <c r="J446" s="26" t="n"/>
    </row>
    <row r="447">
      <c r="H447" s="26" t="n"/>
      <c r="I447" s="26" t="n"/>
      <c r="J447" s="26" t="n"/>
    </row>
    <row r="448">
      <c r="H448" s="26" t="n"/>
      <c r="I448" s="26" t="n"/>
      <c r="J448" s="26" t="n"/>
    </row>
    <row r="449">
      <c r="H449" s="26" t="n"/>
      <c r="I449" s="26" t="n"/>
      <c r="J449" s="26" t="n"/>
    </row>
    <row r="450">
      <c r="H450" s="26" t="n"/>
      <c r="I450" s="26" t="n"/>
      <c r="J450" s="26" t="n"/>
    </row>
    <row r="451">
      <c r="H451" s="26" t="n"/>
      <c r="I451" s="26" t="n"/>
      <c r="J451" s="26" t="n"/>
    </row>
    <row r="452">
      <c r="H452" s="26" t="n"/>
      <c r="I452" s="26" t="n"/>
      <c r="J452" s="26" t="n"/>
    </row>
    <row r="453">
      <c r="H453" s="26" t="n"/>
      <c r="I453" s="26" t="n"/>
      <c r="J453" s="26" t="n"/>
    </row>
    <row r="454">
      <c r="H454" s="26" t="n"/>
      <c r="I454" s="26" t="n"/>
      <c r="J454" s="26" t="n"/>
    </row>
    <row r="455">
      <c r="H455" s="26" t="n"/>
      <c r="I455" s="26" t="n"/>
      <c r="J455" s="26" t="n"/>
    </row>
    <row r="456">
      <c r="H456" s="26" t="n"/>
      <c r="I456" s="26" t="n"/>
      <c r="J456" s="26" t="n"/>
    </row>
    <row r="457">
      <c r="H457" s="26" t="n"/>
      <c r="I457" s="26" t="n"/>
      <c r="J457" s="26" t="n"/>
    </row>
    <row r="458">
      <c r="H458" s="26" t="n"/>
      <c r="I458" s="26" t="n"/>
      <c r="J458" s="26" t="n"/>
    </row>
    <row r="459">
      <c r="H459" s="26" t="n"/>
      <c r="I459" s="26" t="n"/>
      <c r="J459" s="26" t="n"/>
    </row>
    <row r="460">
      <c r="H460" s="26" t="n"/>
      <c r="I460" s="26" t="n"/>
      <c r="J460" s="26" t="n"/>
    </row>
    <row r="461">
      <c r="H461" s="26" t="n"/>
      <c r="I461" s="26" t="n"/>
      <c r="J461" s="26" t="n"/>
    </row>
    <row r="462">
      <c r="H462" s="26" t="n"/>
      <c r="I462" s="26" t="n"/>
      <c r="J462" s="26" t="n"/>
    </row>
    <row r="463">
      <c r="H463" s="26" t="n"/>
      <c r="I463" s="26" t="n"/>
      <c r="J463" s="26" t="n"/>
    </row>
    <row r="464">
      <c r="H464" s="26" t="n"/>
      <c r="I464" s="26" t="n"/>
      <c r="J464" s="26" t="n"/>
    </row>
    <row r="465">
      <c r="H465" s="26" t="n"/>
      <c r="I465" s="26" t="n"/>
      <c r="J465" s="26" t="n"/>
    </row>
    <row r="466">
      <c r="H466" s="26" t="n"/>
      <c r="I466" s="26" t="n"/>
      <c r="J466" s="26" t="n"/>
    </row>
    <row r="467">
      <c r="H467" s="26" t="n"/>
      <c r="I467" s="26" t="n"/>
      <c r="J467" s="26" t="n"/>
    </row>
    <row r="468">
      <c r="H468" s="26" t="n"/>
      <c r="I468" s="26" t="n"/>
      <c r="J468" s="26" t="n"/>
    </row>
    <row r="469">
      <c r="H469" s="26" t="n"/>
      <c r="I469" s="26" t="n"/>
      <c r="J469" s="26" t="n"/>
    </row>
    <row r="470">
      <c r="H470" s="26" t="n"/>
      <c r="I470" s="26" t="n"/>
      <c r="J470" s="26" t="n"/>
    </row>
    <row r="471">
      <c r="H471" s="26" t="n"/>
      <c r="I471" s="26" t="n"/>
      <c r="J471" s="26" t="n"/>
    </row>
    <row r="472">
      <c r="H472" s="26" t="n"/>
      <c r="I472" s="26" t="n"/>
      <c r="J472" s="26" t="n"/>
    </row>
    <row r="473">
      <c r="H473" s="26" t="n"/>
      <c r="I473" s="26" t="n"/>
      <c r="J473" s="26" t="n"/>
    </row>
    <row r="474">
      <c r="H474" s="26" t="n"/>
      <c r="I474" s="26" t="n"/>
      <c r="J474" s="26" t="n"/>
    </row>
    <row r="475">
      <c r="H475" s="26" t="n"/>
      <c r="I475" s="26" t="n"/>
      <c r="J475" s="26" t="n"/>
    </row>
    <row r="476">
      <c r="H476" s="26" t="n"/>
      <c r="I476" s="26" t="n"/>
      <c r="J476" s="26" t="n"/>
    </row>
    <row r="477">
      <c r="H477" s="26" t="n"/>
      <c r="I477" s="26" t="n"/>
      <c r="J477" s="26" t="n"/>
    </row>
    <row r="478">
      <c r="H478" s="26" t="n"/>
      <c r="I478" s="26" t="n"/>
      <c r="J478" s="26" t="n"/>
    </row>
    <row r="479">
      <c r="H479" s="26" t="n"/>
      <c r="I479" s="26" t="n"/>
      <c r="J479" s="26" t="n"/>
    </row>
    <row r="480">
      <c r="H480" s="26" t="n"/>
      <c r="I480" s="26" t="n"/>
      <c r="J480" s="26" t="n"/>
    </row>
    <row r="481">
      <c r="H481" s="26" t="n"/>
      <c r="I481" s="26" t="n"/>
      <c r="J481" s="26" t="n"/>
    </row>
    <row r="482">
      <c r="H482" s="26" t="n"/>
      <c r="I482" s="26" t="n"/>
      <c r="J482" s="26" t="n"/>
    </row>
    <row r="483">
      <c r="H483" s="26" t="n"/>
      <c r="I483" s="26" t="n"/>
      <c r="J483" s="26" t="n"/>
    </row>
    <row r="484">
      <c r="H484" s="26" t="n"/>
      <c r="I484" s="26" t="n"/>
      <c r="J484" s="26" t="n"/>
    </row>
    <row r="485">
      <c r="H485" s="26" t="n"/>
      <c r="I485" s="26" t="n"/>
      <c r="J485" s="26" t="n"/>
    </row>
    <row r="486">
      <c r="H486" s="26" t="n"/>
      <c r="I486" s="26" t="n"/>
      <c r="J486" s="26" t="n"/>
    </row>
    <row r="487">
      <c r="H487" s="26" t="n"/>
      <c r="I487" s="26" t="n"/>
      <c r="J487" s="26" t="n"/>
    </row>
    <row r="488">
      <c r="H488" s="26" t="n"/>
      <c r="I488" s="26" t="n"/>
      <c r="J488" s="26" t="n"/>
    </row>
    <row r="489">
      <c r="H489" s="26" t="n"/>
      <c r="I489" s="26" t="n"/>
      <c r="J489" s="26" t="n"/>
    </row>
    <row r="490">
      <c r="H490" s="26" t="n"/>
      <c r="I490" s="26" t="n"/>
      <c r="J490" s="26" t="n"/>
    </row>
    <row r="491">
      <c r="H491" s="26" t="n"/>
      <c r="I491" s="26" t="n"/>
      <c r="J491" s="26" t="n"/>
    </row>
    <row r="492">
      <c r="H492" s="26" t="n"/>
      <c r="I492" s="26" t="n"/>
      <c r="J492" s="26" t="n"/>
    </row>
    <row r="493">
      <c r="H493" s="26" t="n"/>
      <c r="I493" s="26" t="n"/>
      <c r="J493" s="26" t="n"/>
    </row>
    <row r="494">
      <c r="H494" s="26" t="n"/>
      <c r="I494" s="26" t="n"/>
      <c r="J494" s="26" t="n"/>
    </row>
    <row r="495">
      <c r="H495" s="26" t="n"/>
      <c r="I495" s="26" t="n"/>
      <c r="J495" s="26" t="n"/>
    </row>
    <row r="496">
      <c r="H496" s="26" t="n"/>
      <c r="I496" s="26" t="n"/>
      <c r="J496" s="26" t="n"/>
    </row>
    <row r="497">
      <c r="H497" s="26" t="n"/>
      <c r="I497" s="26" t="n"/>
      <c r="J497" s="26" t="n"/>
    </row>
    <row r="498">
      <c r="H498" s="26" t="n"/>
      <c r="I498" s="26" t="n"/>
      <c r="J498" s="26" t="n"/>
    </row>
    <row r="499">
      <c r="H499" s="26" t="n"/>
      <c r="I499" s="26" t="n"/>
      <c r="J499" s="26" t="n"/>
    </row>
    <row r="500">
      <c r="H500" s="26" t="n"/>
      <c r="I500" s="26" t="n"/>
      <c r="J500" s="26" t="n"/>
    </row>
    <row r="501">
      <c r="H501" s="26" t="n"/>
      <c r="I501" s="26" t="n"/>
      <c r="J501" s="26" t="n"/>
    </row>
    <row r="502">
      <c r="H502" s="26" t="n"/>
      <c r="I502" s="26" t="n"/>
      <c r="J502" s="26" t="n"/>
    </row>
    <row r="503">
      <c r="H503" s="26" t="n"/>
      <c r="I503" s="26" t="n"/>
      <c r="J503" s="26" t="n"/>
    </row>
    <row r="504">
      <c r="H504" s="26" t="n"/>
      <c r="I504" s="26" t="n"/>
      <c r="J504" s="26" t="n"/>
    </row>
    <row r="505">
      <c r="H505" s="26" t="n"/>
      <c r="I505" s="26" t="n"/>
      <c r="J505" s="26" t="n"/>
    </row>
    <row r="506">
      <c r="H506" s="26" t="n"/>
      <c r="I506" s="26" t="n"/>
      <c r="J506" s="26" t="n"/>
    </row>
    <row r="507">
      <c r="H507" s="26" t="n"/>
      <c r="I507" s="26" t="n"/>
      <c r="J507" s="26" t="n"/>
    </row>
    <row r="508">
      <c r="H508" s="26" t="n"/>
      <c r="I508" s="26" t="n"/>
      <c r="J508" s="26" t="n"/>
    </row>
    <row r="509">
      <c r="H509" s="26" t="n"/>
      <c r="I509" s="26" t="n"/>
      <c r="J509" s="26" t="n"/>
    </row>
    <row r="510">
      <c r="H510" s="26" t="n"/>
      <c r="I510" s="26" t="n"/>
      <c r="J510" s="26" t="n"/>
    </row>
    <row r="511">
      <c r="H511" s="26" t="n"/>
      <c r="I511" s="26" t="n"/>
      <c r="J511" s="26" t="n"/>
    </row>
    <row r="512">
      <c r="H512" s="26" t="n"/>
      <c r="I512" s="26" t="n"/>
      <c r="J512" s="26" t="n"/>
    </row>
    <row r="513">
      <c r="H513" s="26" t="n"/>
      <c r="I513" s="26" t="n"/>
      <c r="J513" s="26" t="n"/>
    </row>
    <row r="514">
      <c r="H514" s="26" t="n"/>
      <c r="I514" s="26" t="n"/>
      <c r="J514" s="26" t="n"/>
    </row>
    <row r="515">
      <c r="H515" s="26" t="n"/>
      <c r="I515" s="26" t="n"/>
      <c r="J515" s="26" t="n"/>
    </row>
    <row r="516">
      <c r="H516" s="26" t="n"/>
      <c r="I516" s="26" t="n"/>
      <c r="J516" s="26" t="n"/>
    </row>
    <row r="517">
      <c r="H517" s="26" t="n"/>
      <c r="I517" s="26" t="n"/>
      <c r="J517" s="26" t="n"/>
    </row>
    <row r="518">
      <c r="H518" s="26" t="n"/>
      <c r="I518" s="26" t="n"/>
      <c r="J518" s="26" t="n"/>
    </row>
    <row r="519">
      <c r="H519" s="26" t="n"/>
      <c r="I519" s="26" t="n"/>
      <c r="J519" s="26" t="n"/>
    </row>
    <row r="520">
      <c r="H520" s="26" t="n"/>
      <c r="I520" s="26" t="n"/>
      <c r="J520" s="26" t="n"/>
    </row>
    <row r="521">
      <c r="H521" s="26" t="n"/>
      <c r="I521" s="26" t="n"/>
      <c r="J521" s="26" t="n"/>
    </row>
    <row r="522">
      <c r="H522" s="26" t="n"/>
      <c r="I522" s="26" t="n"/>
      <c r="J522" s="26" t="n"/>
    </row>
    <row r="523">
      <c r="H523" s="26" t="n"/>
      <c r="I523" s="26" t="n"/>
      <c r="J523" s="26" t="n"/>
    </row>
    <row r="524">
      <c r="H524" s="26" t="n"/>
      <c r="I524" s="26" t="n"/>
      <c r="J524" s="26" t="n"/>
    </row>
    <row r="525">
      <c r="H525" s="26" t="n"/>
      <c r="I525" s="26" t="n"/>
      <c r="J525" s="26" t="n"/>
    </row>
    <row r="526">
      <c r="H526" s="26" t="n"/>
      <c r="I526" s="26" t="n"/>
      <c r="J526" s="26" t="n"/>
    </row>
    <row r="527">
      <c r="H527" s="26" t="n"/>
      <c r="I527" s="26" t="n"/>
      <c r="J527" s="26" t="n"/>
    </row>
    <row r="528">
      <c r="H528" s="26" t="n"/>
      <c r="I528" s="26" t="n"/>
      <c r="J528" s="26" t="n"/>
    </row>
    <row r="529">
      <c r="H529" s="26" t="n"/>
      <c r="I529" s="26" t="n"/>
      <c r="J529" s="26" t="n"/>
    </row>
    <row r="530">
      <c r="H530" s="26" t="n"/>
      <c r="I530" s="26" t="n"/>
      <c r="J530" s="26" t="n"/>
    </row>
    <row r="531">
      <c r="H531" s="26" t="n"/>
      <c r="I531" s="26" t="n"/>
      <c r="J531" s="26" t="n"/>
    </row>
    <row r="532">
      <c r="H532" s="26" t="n"/>
      <c r="I532" s="26" t="n"/>
      <c r="J532" s="26" t="n"/>
    </row>
    <row r="533">
      <c r="H533" s="26" t="n"/>
      <c r="I533" s="26" t="n"/>
      <c r="J533" s="26" t="n"/>
    </row>
    <row r="534">
      <c r="H534" s="26" t="n"/>
      <c r="I534" s="26" t="n"/>
      <c r="J534" s="26" t="n"/>
    </row>
    <row r="535">
      <c r="H535" s="26" t="n"/>
      <c r="I535" s="26" t="n"/>
      <c r="J535" s="26" t="n"/>
    </row>
    <row r="536">
      <c r="H536" s="26" t="n"/>
      <c r="I536" s="26" t="n"/>
      <c r="J536" s="26" t="n"/>
    </row>
    <row r="537">
      <c r="H537" s="26" t="n"/>
      <c r="I537" s="26" t="n"/>
      <c r="J537" s="26" t="n"/>
    </row>
    <row r="538">
      <c r="H538" s="26" t="n"/>
      <c r="I538" s="26" t="n"/>
      <c r="J538" s="26" t="n"/>
    </row>
    <row r="539">
      <c r="H539" s="26" t="n"/>
      <c r="I539" s="26" t="n"/>
      <c r="J539" s="26" t="n"/>
    </row>
    <row r="540">
      <c r="H540" s="26" t="n"/>
      <c r="I540" s="26" t="n"/>
      <c r="J540" s="26" t="n"/>
    </row>
    <row r="541">
      <c r="H541" s="26" t="n"/>
      <c r="I541" s="26" t="n"/>
      <c r="J541" s="26" t="n"/>
    </row>
    <row r="542">
      <c r="H542" s="26" t="n"/>
      <c r="I542" s="26" t="n"/>
      <c r="J542" s="26" t="n"/>
    </row>
    <row r="543">
      <c r="H543" s="26" t="n"/>
      <c r="I543" s="26" t="n"/>
      <c r="J543" s="26" t="n"/>
    </row>
    <row r="544">
      <c r="H544" s="26" t="n"/>
      <c r="I544" s="26" t="n"/>
      <c r="J544" s="26" t="n"/>
    </row>
    <row r="545">
      <c r="H545" s="26" t="n"/>
      <c r="I545" s="26" t="n"/>
      <c r="J545" s="26" t="n"/>
    </row>
    <row r="546">
      <c r="H546" s="26" t="n"/>
      <c r="I546" s="26" t="n"/>
      <c r="J546" s="26" t="n"/>
    </row>
    <row r="547">
      <c r="H547" s="26" t="n"/>
      <c r="I547" s="26" t="n"/>
      <c r="J547" s="26" t="n"/>
    </row>
    <row r="548">
      <c r="H548" s="26" t="n"/>
      <c r="I548" s="26" t="n"/>
      <c r="J548" s="26" t="n"/>
    </row>
    <row r="549">
      <c r="H549" s="26" t="n"/>
      <c r="I549" s="26" t="n"/>
      <c r="J549" s="26" t="n"/>
    </row>
    <row r="550">
      <c r="H550" s="26" t="n"/>
      <c r="I550" s="26" t="n"/>
      <c r="J550" s="26" t="n"/>
    </row>
    <row r="551">
      <c r="H551" s="26" t="n"/>
      <c r="I551" s="26" t="n"/>
      <c r="J551" s="26" t="n"/>
    </row>
    <row r="552">
      <c r="H552" s="26" t="n"/>
      <c r="I552" s="26" t="n"/>
      <c r="J552" s="26" t="n"/>
    </row>
    <row r="553">
      <c r="H553" s="26" t="n"/>
      <c r="I553" s="26" t="n"/>
      <c r="J553" s="26" t="n"/>
    </row>
    <row r="554">
      <c r="H554" s="26" t="n"/>
      <c r="I554" s="26" t="n"/>
      <c r="J554" s="26" t="n"/>
    </row>
    <row r="555">
      <c r="H555" s="26" t="n"/>
      <c r="I555" s="26" t="n"/>
      <c r="J555" s="26" t="n"/>
    </row>
    <row r="556">
      <c r="H556" s="26" t="n"/>
      <c r="I556" s="26" t="n"/>
      <c r="J556" s="26" t="n"/>
    </row>
    <row r="557">
      <c r="H557" s="26" t="n"/>
      <c r="I557" s="26" t="n"/>
      <c r="J557" s="26" t="n"/>
    </row>
    <row r="558">
      <c r="H558" s="26" t="n"/>
      <c r="I558" s="26" t="n"/>
      <c r="J558" s="26" t="n"/>
    </row>
    <row r="559">
      <c r="H559" s="26" t="n"/>
      <c r="I559" s="26" t="n"/>
      <c r="J559" s="26" t="n"/>
    </row>
    <row r="560">
      <c r="H560" s="26" t="n"/>
      <c r="I560" s="26" t="n"/>
      <c r="J560" s="26" t="n"/>
    </row>
    <row r="561">
      <c r="H561" s="26" t="n"/>
      <c r="I561" s="26" t="n"/>
      <c r="J561" s="26" t="n"/>
    </row>
    <row r="562">
      <c r="H562" s="26" t="n"/>
      <c r="I562" s="26" t="n"/>
      <c r="J562" s="26" t="n"/>
    </row>
    <row r="563">
      <c r="H563" s="26" t="n"/>
      <c r="I563" s="26" t="n"/>
      <c r="J563" s="26" t="n"/>
    </row>
    <row r="564">
      <c r="H564" s="26" t="n"/>
      <c r="I564" s="26" t="n"/>
      <c r="J564" s="26" t="n"/>
    </row>
    <row r="565">
      <c r="H565" s="26" t="n"/>
      <c r="I565" s="26" t="n"/>
      <c r="J565" s="26" t="n"/>
    </row>
    <row r="566">
      <c r="H566" s="26" t="n"/>
      <c r="I566" s="26" t="n"/>
      <c r="J566" s="26" t="n"/>
    </row>
    <row r="567">
      <c r="H567" s="26" t="n"/>
      <c r="I567" s="26" t="n"/>
      <c r="J567" s="26" t="n"/>
    </row>
    <row r="568">
      <c r="H568" s="26" t="n"/>
      <c r="I568" s="26" t="n"/>
      <c r="J568" s="26" t="n"/>
    </row>
    <row r="569">
      <c r="H569" s="26" t="n"/>
      <c r="I569" s="26" t="n"/>
      <c r="J569" s="26" t="n"/>
    </row>
    <row r="570">
      <c r="H570" s="26" t="n"/>
      <c r="I570" s="26" t="n"/>
      <c r="J570" s="26" t="n"/>
    </row>
    <row r="571">
      <c r="H571" s="26" t="n"/>
      <c r="I571" s="26" t="n"/>
      <c r="J571" s="26" t="n"/>
    </row>
    <row r="572">
      <c r="H572" s="26" t="n"/>
      <c r="I572" s="26" t="n"/>
      <c r="J572" s="26" t="n"/>
    </row>
    <row r="573">
      <c r="H573" s="26" t="n"/>
      <c r="I573" s="26" t="n"/>
      <c r="J573" s="26" t="n"/>
    </row>
    <row r="574">
      <c r="H574" s="26" t="n"/>
      <c r="I574" s="26" t="n"/>
      <c r="J574" s="26" t="n"/>
    </row>
    <row r="575">
      <c r="H575" s="26" t="n"/>
      <c r="I575" s="26" t="n"/>
      <c r="J575" s="26" t="n"/>
    </row>
    <row r="576">
      <c r="H576" s="26" t="n"/>
      <c r="I576" s="26" t="n"/>
      <c r="J576" s="26" t="n"/>
    </row>
    <row r="577">
      <c r="H577" s="26" t="n"/>
      <c r="I577" s="26" t="n"/>
      <c r="J577" s="26" t="n"/>
    </row>
    <row r="578">
      <c r="H578" s="26" t="n"/>
      <c r="I578" s="26" t="n"/>
      <c r="J578" s="26" t="n"/>
    </row>
    <row r="579">
      <c r="H579" s="26" t="n"/>
      <c r="I579" s="26" t="n"/>
      <c r="J579" s="26" t="n"/>
    </row>
    <row r="580">
      <c r="H580" s="26" t="n"/>
      <c r="I580" s="26" t="n"/>
      <c r="J580" s="26" t="n"/>
    </row>
    <row r="581">
      <c r="H581" s="26" t="n"/>
      <c r="I581" s="26" t="n"/>
      <c r="J581" s="26" t="n"/>
    </row>
    <row r="582">
      <c r="H582" s="26" t="n"/>
      <c r="I582" s="26" t="n"/>
      <c r="J582" s="26" t="n"/>
    </row>
    <row r="583">
      <c r="H583" s="26" t="n"/>
      <c r="I583" s="26" t="n"/>
      <c r="J583" s="26" t="n"/>
    </row>
    <row r="584">
      <c r="H584" s="26" t="n"/>
      <c r="I584" s="26" t="n"/>
      <c r="J584" s="26" t="n"/>
    </row>
    <row r="585">
      <c r="H585" s="26" t="n"/>
      <c r="I585" s="26" t="n"/>
      <c r="J585" s="26" t="n"/>
    </row>
    <row r="586">
      <c r="H586" s="26" t="n"/>
      <c r="I586" s="26" t="n"/>
      <c r="J586" s="26" t="n"/>
    </row>
    <row r="587">
      <c r="H587" s="26" t="n"/>
      <c r="I587" s="26" t="n"/>
      <c r="J587" s="26" t="n"/>
    </row>
    <row r="588">
      <c r="H588" s="26" t="n"/>
      <c r="I588" s="26" t="n"/>
      <c r="J588" s="26" t="n"/>
    </row>
    <row r="589">
      <c r="H589" s="26" t="n"/>
      <c r="I589" s="26" t="n"/>
      <c r="J589" s="26" t="n"/>
    </row>
    <row r="590">
      <c r="H590" s="26" t="n"/>
      <c r="I590" s="26" t="n"/>
      <c r="J590" s="26" t="n"/>
    </row>
    <row r="591">
      <c r="H591" s="26" t="n"/>
      <c r="I591" s="26" t="n"/>
      <c r="J591" s="26" t="n"/>
    </row>
    <row r="592">
      <c r="H592" s="26" t="n"/>
      <c r="I592" s="26" t="n"/>
      <c r="J592" s="26" t="n"/>
    </row>
    <row r="593">
      <c r="H593" s="26" t="n"/>
      <c r="I593" s="26" t="n"/>
      <c r="J593" s="26" t="n"/>
    </row>
    <row r="594">
      <c r="H594" s="26" t="n"/>
      <c r="I594" s="26" t="n"/>
      <c r="J594" s="26" t="n"/>
    </row>
    <row r="595">
      <c r="H595" s="26" t="n"/>
      <c r="I595" s="26" t="n"/>
      <c r="J595" s="26" t="n"/>
    </row>
    <row r="596">
      <c r="H596" s="26" t="n"/>
      <c r="I596" s="26" t="n"/>
      <c r="J596" s="26" t="n"/>
    </row>
    <row r="597">
      <c r="H597" s="26" t="n"/>
      <c r="I597" s="26" t="n"/>
      <c r="J597" s="26" t="n"/>
    </row>
    <row r="598">
      <c r="H598" s="26" t="n"/>
      <c r="I598" s="26" t="n"/>
      <c r="J598" s="26" t="n"/>
    </row>
    <row r="599">
      <c r="H599" s="26" t="n"/>
      <c r="I599" s="26" t="n"/>
      <c r="J599" s="26" t="n"/>
    </row>
    <row r="600">
      <c r="H600" s="26" t="n"/>
      <c r="I600" s="26" t="n"/>
      <c r="J600" s="26" t="n"/>
    </row>
    <row r="601">
      <c r="H601" s="26" t="n"/>
      <c r="I601" s="26" t="n"/>
      <c r="J601" s="26" t="n"/>
    </row>
    <row r="602">
      <c r="H602" s="26" t="n"/>
      <c r="I602" s="26" t="n"/>
      <c r="J602" s="26" t="n"/>
    </row>
    <row r="603">
      <c r="H603" s="26" t="n"/>
      <c r="I603" s="26" t="n"/>
      <c r="J603" s="26" t="n"/>
    </row>
    <row r="604">
      <c r="H604" s="26" t="n"/>
      <c r="I604" s="26" t="n"/>
      <c r="J604" s="26" t="n"/>
    </row>
    <row r="605">
      <c r="H605" s="26" t="n"/>
      <c r="I605" s="26" t="n"/>
      <c r="J605" s="26" t="n"/>
    </row>
    <row r="606">
      <c r="H606" s="26" t="n"/>
      <c r="I606" s="26" t="n"/>
      <c r="J606" s="26" t="n"/>
    </row>
    <row r="607">
      <c r="H607" s="26" t="n"/>
      <c r="I607" s="26" t="n"/>
      <c r="J607" s="26" t="n"/>
    </row>
    <row r="608">
      <c r="H608" s="26" t="n"/>
      <c r="I608" s="26" t="n"/>
      <c r="J608" s="26" t="n"/>
    </row>
    <row r="609">
      <c r="H609" s="26" t="n"/>
      <c r="I609" s="26" t="n"/>
      <c r="J609" s="26" t="n"/>
    </row>
    <row r="610">
      <c r="H610" s="26" t="n"/>
      <c r="I610" s="26" t="n"/>
      <c r="J610" s="26" t="n"/>
    </row>
    <row r="611">
      <c r="H611" s="26" t="n"/>
      <c r="I611" s="26" t="n"/>
      <c r="J611" s="26" t="n"/>
    </row>
    <row r="612">
      <c r="H612" s="26" t="n"/>
      <c r="I612" s="26" t="n"/>
      <c r="J612" s="26" t="n"/>
    </row>
    <row r="613">
      <c r="H613" s="26" t="n"/>
      <c r="I613" s="26" t="n"/>
      <c r="J613" s="26" t="n"/>
    </row>
    <row r="614">
      <c r="H614" s="26" t="n"/>
      <c r="I614" s="26" t="n"/>
      <c r="J614" s="26" t="n"/>
    </row>
    <row r="615">
      <c r="H615" s="26" t="n"/>
      <c r="I615" s="26" t="n"/>
      <c r="J615" s="26" t="n"/>
    </row>
    <row r="616">
      <c r="H616" s="26" t="n"/>
      <c r="I616" s="26" t="n"/>
      <c r="J616" s="26" t="n"/>
    </row>
    <row r="617">
      <c r="H617" s="26" t="n"/>
      <c r="I617" s="26" t="n"/>
      <c r="J617" s="26" t="n"/>
    </row>
    <row r="618">
      <c r="H618" s="26" t="n"/>
      <c r="I618" s="26" t="n"/>
      <c r="J618" s="26" t="n"/>
    </row>
    <row r="619">
      <c r="H619" s="26" t="n"/>
      <c r="I619" s="26" t="n"/>
      <c r="J619" s="26" t="n"/>
    </row>
    <row r="620">
      <c r="H620" s="26" t="n"/>
      <c r="I620" s="26" t="n"/>
      <c r="J620" s="26" t="n"/>
    </row>
    <row r="621">
      <c r="H621" s="26" t="n"/>
      <c r="I621" s="26" t="n"/>
      <c r="J621" s="26" t="n"/>
    </row>
    <row r="622">
      <c r="H622" s="26" t="n"/>
      <c r="I622" s="26" t="n"/>
      <c r="J622" s="26" t="n"/>
    </row>
    <row r="623">
      <c r="H623" s="26" t="n"/>
      <c r="I623" s="26" t="n"/>
      <c r="J623" s="26" t="n"/>
    </row>
    <row r="624">
      <c r="H624" s="26" t="n"/>
      <c r="I624" s="26" t="n"/>
      <c r="J624" s="26" t="n"/>
    </row>
    <row r="625">
      <c r="H625" s="26" t="n"/>
      <c r="I625" s="26" t="n"/>
      <c r="J625" s="26" t="n"/>
    </row>
    <row r="626">
      <c r="H626" s="26" t="n"/>
      <c r="I626" s="26" t="n"/>
      <c r="J626" s="26" t="n"/>
    </row>
    <row r="627">
      <c r="H627" s="26" t="n"/>
      <c r="I627" s="26" t="n"/>
      <c r="J627" s="26" t="n"/>
    </row>
    <row r="628">
      <c r="H628" s="26" t="n"/>
      <c r="I628" s="26" t="n"/>
      <c r="J628" s="26" t="n"/>
    </row>
    <row r="629">
      <c r="H629" s="26" t="n"/>
      <c r="I629" s="26" t="n"/>
      <c r="J629" s="26" t="n"/>
    </row>
    <row r="630">
      <c r="H630" s="26" t="n"/>
      <c r="I630" s="26" t="n"/>
      <c r="J630" s="26" t="n"/>
    </row>
    <row r="631">
      <c r="H631" s="26" t="n"/>
      <c r="I631" s="26" t="n"/>
      <c r="J631" s="26" t="n"/>
    </row>
    <row r="632">
      <c r="H632" s="26" t="n"/>
      <c r="I632" s="26" t="n"/>
      <c r="J632" s="26" t="n"/>
    </row>
    <row r="633">
      <c r="H633" s="26" t="n"/>
      <c r="I633" s="26" t="n"/>
      <c r="J633" s="26" t="n"/>
    </row>
    <row r="634">
      <c r="H634" s="26" t="n"/>
      <c r="I634" s="26" t="n"/>
      <c r="J634" s="26" t="n"/>
    </row>
    <row r="635">
      <c r="H635" s="26" t="n"/>
      <c r="I635" s="26" t="n"/>
      <c r="J635" s="26" t="n"/>
    </row>
    <row r="636">
      <c r="H636" s="26" t="n"/>
      <c r="I636" s="26" t="n"/>
      <c r="J636" s="26" t="n"/>
    </row>
    <row r="637">
      <c r="H637" s="26" t="n"/>
      <c r="I637" s="26" t="n"/>
      <c r="J637" s="26" t="n"/>
    </row>
    <row r="638">
      <c r="H638" s="26" t="n"/>
      <c r="I638" s="26" t="n"/>
      <c r="J638" s="26" t="n"/>
    </row>
    <row r="639">
      <c r="H639" s="26" t="n"/>
      <c r="I639" s="26" t="n"/>
      <c r="J639" s="26" t="n"/>
    </row>
    <row r="640">
      <c r="H640" s="26" t="n"/>
      <c r="I640" s="26" t="n"/>
      <c r="J640" s="26" t="n"/>
    </row>
    <row r="641">
      <c r="H641" s="26" t="n"/>
      <c r="I641" s="26" t="n"/>
      <c r="J641" s="26" t="n"/>
    </row>
    <row r="642">
      <c r="H642" s="26" t="n"/>
      <c r="I642" s="26" t="n"/>
      <c r="J642" s="26" t="n"/>
    </row>
    <row r="643">
      <c r="H643" s="26" t="n"/>
      <c r="I643" s="26" t="n"/>
      <c r="J643" s="26" t="n"/>
    </row>
    <row r="644">
      <c r="H644" s="26" t="n"/>
      <c r="I644" s="26" t="n"/>
      <c r="J644" s="26" t="n"/>
    </row>
    <row r="645">
      <c r="H645" s="26" t="n"/>
      <c r="I645" s="26" t="n"/>
      <c r="J645" s="26" t="n"/>
    </row>
    <row r="646">
      <c r="H646" s="26" t="n"/>
      <c r="I646" s="26" t="n"/>
      <c r="J646" s="26" t="n"/>
    </row>
    <row r="647">
      <c r="H647" s="26" t="n"/>
      <c r="I647" s="26" t="n"/>
      <c r="J647" s="26" t="n"/>
    </row>
    <row r="648">
      <c r="H648" s="26" t="n"/>
      <c r="I648" s="26" t="n"/>
      <c r="J648" s="26" t="n"/>
    </row>
    <row r="649">
      <c r="H649" s="26" t="n"/>
      <c r="I649" s="26" t="n"/>
      <c r="J649" s="26" t="n"/>
    </row>
    <row r="650">
      <c r="H650" s="26" t="n"/>
      <c r="I650" s="26" t="n"/>
      <c r="J650" s="26" t="n"/>
    </row>
    <row r="651">
      <c r="H651" s="26" t="n"/>
      <c r="I651" s="26" t="n"/>
      <c r="J651" s="26" t="n"/>
    </row>
    <row r="652">
      <c r="H652" s="26" t="n"/>
      <c r="I652" s="26" t="n"/>
      <c r="J652" s="26" t="n"/>
    </row>
    <row r="653">
      <c r="H653" s="26" t="n"/>
      <c r="I653" s="26" t="n"/>
      <c r="J653" s="26" t="n"/>
    </row>
    <row r="654">
      <c r="H654" s="26" t="n"/>
      <c r="I654" s="26" t="n"/>
      <c r="J654" s="26" t="n"/>
    </row>
    <row r="655">
      <c r="H655" s="26" t="n"/>
      <c r="I655" s="26" t="n"/>
      <c r="J655" s="26" t="n"/>
    </row>
    <row r="656">
      <c r="H656" s="26" t="n"/>
      <c r="I656" s="26" t="n"/>
      <c r="J656" s="26" t="n"/>
    </row>
    <row r="657">
      <c r="H657" s="26" t="n"/>
      <c r="I657" s="26" t="n"/>
      <c r="J657" s="26" t="n"/>
    </row>
    <row r="658">
      <c r="H658" s="26" t="n"/>
      <c r="I658" s="26" t="n"/>
      <c r="J658" s="26" t="n"/>
    </row>
    <row r="659">
      <c r="H659" s="26" t="n"/>
      <c r="I659" s="26" t="n"/>
      <c r="J659" s="26" t="n"/>
    </row>
    <row r="660">
      <c r="H660" s="26" t="n"/>
      <c r="I660" s="26" t="n"/>
      <c r="J660" s="26" t="n"/>
    </row>
    <row r="661">
      <c r="H661" s="26" t="n"/>
      <c r="I661" s="26" t="n"/>
      <c r="J661" s="26" t="n"/>
    </row>
    <row r="662">
      <c r="H662" s="26" t="n"/>
      <c r="I662" s="26" t="n"/>
      <c r="J662" s="26" t="n"/>
    </row>
    <row r="663">
      <c r="H663" s="26" t="n"/>
      <c r="I663" s="26" t="n"/>
      <c r="J663" s="26" t="n"/>
    </row>
    <row r="664">
      <c r="H664" s="26" t="n"/>
      <c r="I664" s="26" t="n"/>
      <c r="J664" s="26" t="n"/>
    </row>
    <row r="665">
      <c r="H665" s="26" t="n"/>
      <c r="I665" s="26" t="n"/>
      <c r="J665" s="26" t="n"/>
    </row>
    <row r="666">
      <c r="H666" s="26" t="n"/>
      <c r="I666" s="26" t="n"/>
      <c r="J666" s="26" t="n"/>
    </row>
    <row r="667">
      <c r="H667" s="26" t="n"/>
      <c r="I667" s="26" t="n"/>
      <c r="J667" s="26" t="n"/>
    </row>
    <row r="668">
      <c r="H668" s="26" t="n"/>
      <c r="I668" s="26" t="n"/>
      <c r="J668" s="26" t="n"/>
    </row>
    <row r="669">
      <c r="H669" s="26" t="n"/>
      <c r="I669" s="26" t="n"/>
      <c r="J669" s="26" t="n"/>
    </row>
    <row r="670">
      <c r="H670" s="26" t="n"/>
      <c r="I670" s="26" t="n"/>
      <c r="J670" s="26" t="n"/>
    </row>
    <row r="671">
      <c r="H671" s="26" t="n"/>
      <c r="I671" s="26" t="n"/>
      <c r="J671" s="26" t="n"/>
    </row>
    <row r="672">
      <c r="H672" s="26" t="n"/>
      <c r="I672" s="26" t="n"/>
      <c r="J672" s="26" t="n"/>
    </row>
    <row r="673">
      <c r="H673" s="26" t="n"/>
      <c r="I673" s="26" t="n"/>
      <c r="J673" s="26" t="n"/>
    </row>
    <row r="674">
      <c r="H674" s="26" t="n"/>
      <c r="I674" s="26" t="n"/>
      <c r="J674" s="26" t="n"/>
    </row>
    <row r="675">
      <c r="H675" s="26" t="n"/>
      <c r="I675" s="26" t="n"/>
      <c r="J675" s="26" t="n"/>
    </row>
    <row r="676">
      <c r="H676" s="26" t="n"/>
      <c r="I676" s="26" t="n"/>
      <c r="J676" s="26" t="n"/>
    </row>
    <row r="677">
      <c r="H677" s="26" t="n"/>
      <c r="I677" s="26" t="n"/>
      <c r="J677" s="26" t="n"/>
    </row>
    <row r="678">
      <c r="H678" s="26" t="n"/>
      <c r="I678" s="26" t="n"/>
      <c r="J678" s="26" t="n"/>
    </row>
    <row r="679">
      <c r="H679" s="26" t="n"/>
      <c r="I679" s="26" t="n"/>
      <c r="J679" s="26" t="n"/>
    </row>
    <row r="680">
      <c r="H680" s="26" t="n"/>
      <c r="I680" s="26" t="n"/>
      <c r="J680" s="26" t="n"/>
    </row>
    <row r="681">
      <c r="H681" s="26" t="n"/>
      <c r="I681" s="26" t="n"/>
      <c r="J681" s="26" t="n"/>
    </row>
    <row r="682">
      <c r="H682" s="26" t="n"/>
      <c r="I682" s="26" t="n"/>
      <c r="J682" s="26" t="n"/>
    </row>
    <row r="683">
      <c r="H683" s="26" t="n"/>
      <c r="I683" s="26" t="n"/>
      <c r="J683" s="26" t="n"/>
    </row>
    <row r="684">
      <c r="H684" s="26" t="n"/>
      <c r="I684" s="26" t="n"/>
      <c r="J684" s="26" t="n"/>
    </row>
    <row r="685">
      <c r="H685" s="26" t="n"/>
      <c r="I685" s="26" t="n"/>
      <c r="J685" s="26" t="n"/>
    </row>
    <row r="686">
      <c r="H686" s="26" t="n"/>
      <c r="I686" s="26" t="n"/>
      <c r="J686" s="26" t="n"/>
    </row>
    <row r="687">
      <c r="H687" s="26" t="n"/>
      <c r="I687" s="26" t="n"/>
      <c r="J687" s="26" t="n"/>
    </row>
    <row r="688">
      <c r="H688" s="26" t="n"/>
      <c r="I688" s="26" t="n"/>
      <c r="J688" s="26" t="n"/>
    </row>
    <row r="689">
      <c r="H689" s="26" t="n"/>
      <c r="I689" s="26" t="n"/>
      <c r="J689" s="26" t="n"/>
    </row>
    <row r="690">
      <c r="H690" s="26" t="n"/>
      <c r="I690" s="26" t="n"/>
      <c r="J690" s="26" t="n"/>
    </row>
    <row r="691">
      <c r="H691" s="26" t="n"/>
      <c r="I691" s="26" t="n"/>
      <c r="J691" s="26" t="n"/>
    </row>
    <row r="692">
      <c r="H692" s="26" t="n"/>
      <c r="I692" s="26" t="n"/>
      <c r="J692" s="26" t="n"/>
    </row>
    <row r="693">
      <c r="H693" s="26" t="n"/>
      <c r="I693" s="26" t="n"/>
      <c r="J693" s="26" t="n"/>
    </row>
    <row r="694">
      <c r="H694" s="26" t="n"/>
      <c r="I694" s="26" t="n"/>
      <c r="J694" s="26" t="n"/>
    </row>
    <row r="695">
      <c r="H695" s="26" t="n"/>
      <c r="I695" s="26" t="n"/>
      <c r="J695" s="26" t="n"/>
    </row>
    <row r="696">
      <c r="H696" s="26" t="n"/>
      <c r="I696" s="26" t="n"/>
      <c r="J696" s="26" t="n"/>
    </row>
    <row r="697">
      <c r="H697" s="26" t="n"/>
      <c r="I697" s="26" t="n"/>
      <c r="J697" s="26" t="n"/>
    </row>
    <row r="698">
      <c r="H698" s="26" t="n"/>
      <c r="I698" s="26" t="n"/>
      <c r="J698" s="26" t="n"/>
    </row>
    <row r="699">
      <c r="H699" s="26" t="n"/>
      <c r="I699" s="26" t="n"/>
      <c r="J699" s="26" t="n"/>
    </row>
    <row r="700">
      <c r="H700" s="26" t="n"/>
      <c r="I700" s="26" t="n"/>
      <c r="J700" s="26" t="n"/>
    </row>
    <row r="701">
      <c r="H701" s="26" t="n"/>
      <c r="I701" s="26" t="n"/>
      <c r="J701" s="26" t="n"/>
    </row>
    <row r="702">
      <c r="H702" s="26" t="n"/>
      <c r="I702" s="26" t="n"/>
      <c r="J702" s="26" t="n"/>
    </row>
    <row r="703">
      <c r="H703" s="26" t="n"/>
      <c r="I703" s="26" t="n"/>
      <c r="J703" s="26" t="n"/>
    </row>
    <row r="704">
      <c r="H704" s="26" t="n"/>
      <c r="I704" s="26" t="n"/>
      <c r="J704" s="26" t="n"/>
    </row>
    <row r="705">
      <c r="H705" s="26" t="n"/>
      <c r="I705" s="26" t="n"/>
      <c r="J705" s="26" t="n"/>
    </row>
    <row r="706">
      <c r="H706" s="26" t="n"/>
      <c r="I706" s="26" t="n"/>
      <c r="J706" s="26" t="n"/>
    </row>
    <row r="707">
      <c r="H707" s="26" t="n"/>
      <c r="I707" s="26" t="n"/>
      <c r="J707" s="26" t="n"/>
    </row>
    <row r="708">
      <c r="H708" s="26" t="n"/>
      <c r="I708" s="26" t="n"/>
      <c r="J708" s="26" t="n"/>
    </row>
    <row r="709">
      <c r="H709" s="26" t="n"/>
      <c r="I709" s="26" t="n"/>
      <c r="J709" s="26" t="n"/>
    </row>
    <row r="710">
      <c r="H710" s="26" t="n"/>
      <c r="I710" s="26" t="n"/>
      <c r="J710" s="26" t="n"/>
    </row>
    <row r="711">
      <c r="H711" s="26" t="n"/>
      <c r="I711" s="26" t="n"/>
      <c r="J711" s="26" t="n"/>
    </row>
    <row r="712">
      <c r="H712" s="26" t="n"/>
      <c r="I712" s="26" t="n"/>
      <c r="J712" s="26" t="n"/>
    </row>
    <row r="713">
      <c r="H713" s="26" t="n"/>
      <c r="I713" s="26" t="n"/>
      <c r="J713" s="26" t="n"/>
    </row>
    <row r="714">
      <c r="H714" s="26" t="n"/>
      <c r="I714" s="26" t="n"/>
      <c r="J714" s="26" t="n"/>
    </row>
    <row r="715">
      <c r="H715" s="26" t="n"/>
      <c r="I715" s="26" t="n"/>
      <c r="J715" s="26" t="n"/>
    </row>
    <row r="716">
      <c r="H716" s="26" t="n"/>
      <c r="I716" s="26" t="n"/>
      <c r="J716" s="26" t="n"/>
    </row>
    <row r="717">
      <c r="H717" s="26" t="n"/>
      <c r="I717" s="26" t="n"/>
      <c r="J717" s="26" t="n"/>
    </row>
    <row r="718">
      <c r="H718" s="26" t="n"/>
      <c r="I718" s="26" t="n"/>
      <c r="J718" s="26" t="n"/>
    </row>
    <row r="719">
      <c r="H719" s="26" t="n"/>
      <c r="I719" s="26" t="n"/>
      <c r="J719" s="26" t="n"/>
    </row>
    <row r="720">
      <c r="H720" s="26" t="n"/>
      <c r="I720" s="26" t="n"/>
      <c r="J720" s="26" t="n"/>
    </row>
    <row r="721">
      <c r="H721" s="26" t="n"/>
      <c r="I721" s="26" t="n"/>
      <c r="J721" s="26" t="n"/>
    </row>
    <row r="722">
      <c r="H722" s="26" t="n"/>
      <c r="I722" s="26" t="n"/>
      <c r="J722" s="26" t="n"/>
    </row>
    <row r="723">
      <c r="H723" s="26" t="n"/>
      <c r="I723" s="26" t="n"/>
      <c r="J723" s="26" t="n"/>
    </row>
    <row r="724">
      <c r="H724" s="26" t="n"/>
      <c r="I724" s="26" t="n"/>
      <c r="J724" s="26" t="n"/>
    </row>
    <row r="725">
      <c r="H725" s="26" t="n"/>
      <c r="I725" s="26" t="n"/>
      <c r="J725" s="26" t="n"/>
    </row>
    <row r="726">
      <c r="H726" s="26" t="n"/>
      <c r="I726" s="26" t="n"/>
      <c r="J726" s="26" t="n"/>
    </row>
    <row r="727">
      <c r="H727" s="26" t="n"/>
      <c r="I727" s="26" t="n"/>
      <c r="J727" s="26" t="n"/>
    </row>
    <row r="728">
      <c r="H728" s="26" t="n"/>
      <c r="I728" s="26" t="n"/>
      <c r="J728" s="26" t="n"/>
    </row>
    <row r="729">
      <c r="H729" s="26" t="n"/>
      <c r="I729" s="26" t="n"/>
      <c r="J729" s="26" t="n"/>
    </row>
    <row r="730">
      <c r="H730" s="26" t="n"/>
      <c r="I730" s="26" t="n"/>
      <c r="J730" s="26" t="n"/>
    </row>
    <row r="731">
      <c r="H731" s="26" t="n"/>
      <c r="I731" s="26" t="n"/>
      <c r="J731" s="26" t="n"/>
    </row>
    <row r="732">
      <c r="H732" s="26" t="n"/>
      <c r="I732" s="26" t="n"/>
      <c r="J732" s="26" t="n"/>
    </row>
    <row r="733">
      <c r="H733" s="26" t="n"/>
      <c r="I733" s="26" t="n"/>
      <c r="J733" s="26" t="n"/>
    </row>
    <row r="734">
      <c r="H734" s="26" t="n"/>
      <c r="I734" s="26" t="n"/>
      <c r="J734" s="26" t="n"/>
    </row>
    <row r="735">
      <c r="H735" s="26" t="n"/>
      <c r="I735" s="26" t="n"/>
      <c r="J735" s="26" t="n"/>
    </row>
    <row r="736">
      <c r="H736" s="26" t="n"/>
      <c r="I736" s="26" t="n"/>
      <c r="J736" s="26" t="n"/>
    </row>
    <row r="737">
      <c r="H737" s="26" t="n"/>
      <c r="I737" s="26" t="n"/>
      <c r="J737" s="26" t="n"/>
    </row>
    <row r="738">
      <c r="H738" s="26" t="n"/>
      <c r="I738" s="26" t="n"/>
      <c r="J738" s="26" t="n"/>
    </row>
    <row r="739">
      <c r="H739" s="26" t="n"/>
      <c r="I739" s="26" t="n"/>
      <c r="J739" s="26" t="n"/>
    </row>
    <row r="740">
      <c r="H740" s="26" t="n"/>
      <c r="I740" s="26" t="n"/>
      <c r="J740" s="26" t="n"/>
    </row>
    <row r="741">
      <c r="H741" s="26" t="n"/>
      <c r="I741" s="26" t="n"/>
      <c r="J741" s="26" t="n"/>
    </row>
    <row r="742">
      <c r="H742" s="26" t="n"/>
      <c r="I742" s="26" t="n"/>
      <c r="J742" s="26" t="n"/>
    </row>
    <row r="743">
      <c r="H743" s="26" t="n"/>
      <c r="I743" s="26" t="n"/>
      <c r="J743" s="26" t="n"/>
    </row>
    <row r="744">
      <c r="H744" s="26" t="n"/>
      <c r="I744" s="26" t="n"/>
      <c r="J744" s="26" t="n"/>
    </row>
    <row r="745">
      <c r="H745" s="26" t="n"/>
      <c r="I745" s="26" t="n"/>
      <c r="J745" s="26" t="n"/>
    </row>
    <row r="746">
      <c r="H746" s="26" t="n"/>
      <c r="I746" s="26" t="n"/>
      <c r="J746" s="26" t="n"/>
    </row>
    <row r="747">
      <c r="H747" s="26" t="n"/>
      <c r="I747" s="26" t="n"/>
      <c r="J747" s="26" t="n"/>
    </row>
    <row r="748">
      <c r="H748" s="26" t="n"/>
      <c r="I748" s="26" t="n"/>
      <c r="J748" s="26" t="n"/>
    </row>
    <row r="749">
      <c r="H749" s="26" t="n"/>
      <c r="I749" s="26" t="n"/>
      <c r="J749" s="26" t="n"/>
    </row>
    <row r="750">
      <c r="H750" s="26" t="n"/>
      <c r="I750" s="26" t="n"/>
      <c r="J750" s="26" t="n"/>
    </row>
    <row r="751">
      <c r="H751" s="26" t="n"/>
      <c r="I751" s="26" t="n"/>
      <c r="J751" s="26" t="n"/>
    </row>
    <row r="752">
      <c r="H752" s="26" t="n"/>
      <c r="I752" s="26" t="n"/>
      <c r="J752" s="26" t="n"/>
    </row>
    <row r="753">
      <c r="H753" s="26" t="n"/>
      <c r="I753" s="26" t="n"/>
      <c r="J753" s="26" t="n"/>
    </row>
    <row r="754">
      <c r="H754" s="26" t="n"/>
      <c r="I754" s="26" t="n"/>
      <c r="J754" s="26" t="n"/>
    </row>
    <row r="755">
      <c r="H755" s="26" t="n"/>
      <c r="I755" s="26" t="n"/>
      <c r="J755" s="26" t="n"/>
    </row>
    <row r="756">
      <c r="H756" s="26" t="n"/>
      <c r="I756" s="26" t="n"/>
      <c r="J756" s="26" t="n"/>
    </row>
    <row r="757">
      <c r="H757" s="26" t="n"/>
      <c r="I757" s="26" t="n"/>
      <c r="J757" s="26" t="n"/>
    </row>
    <row r="758">
      <c r="H758" s="26" t="n"/>
      <c r="I758" s="26" t="n"/>
      <c r="J758" s="26" t="n"/>
    </row>
    <row r="759">
      <c r="H759" s="26" t="n"/>
      <c r="I759" s="26" t="n"/>
      <c r="J759" s="26" t="n"/>
    </row>
    <row r="760">
      <c r="H760" s="26" t="n"/>
      <c r="I760" s="26" t="n"/>
      <c r="J760" s="26" t="n"/>
    </row>
    <row r="761">
      <c r="H761" s="26" t="n"/>
      <c r="I761" s="26" t="n"/>
      <c r="J761" s="26" t="n"/>
    </row>
    <row r="762">
      <c r="H762" s="26" t="n"/>
      <c r="I762" s="26" t="n"/>
      <c r="J762" s="26" t="n"/>
    </row>
    <row r="763">
      <c r="H763" s="26" t="n"/>
      <c r="I763" s="26" t="n"/>
      <c r="J763" s="26" t="n"/>
    </row>
    <row r="764">
      <c r="H764" s="26" t="n"/>
      <c r="I764" s="26" t="n"/>
      <c r="J764" s="26" t="n"/>
    </row>
    <row r="765">
      <c r="H765" s="26" t="n"/>
      <c r="I765" s="26" t="n"/>
      <c r="J765" s="26" t="n"/>
    </row>
    <row r="766">
      <c r="H766" s="26" t="n"/>
      <c r="I766" s="26" t="n"/>
      <c r="J766" s="26" t="n"/>
    </row>
    <row r="767">
      <c r="H767" s="26" t="n"/>
      <c r="I767" s="26" t="n"/>
      <c r="J767" s="26" t="n"/>
    </row>
    <row r="768">
      <c r="H768" s="26" t="n"/>
      <c r="I768" s="26" t="n"/>
      <c r="J768" s="26" t="n"/>
    </row>
    <row r="769">
      <c r="H769" s="26" t="n"/>
      <c r="I769" s="26" t="n"/>
      <c r="J769" s="26" t="n"/>
    </row>
    <row r="770">
      <c r="H770" s="26" t="n"/>
      <c r="I770" s="26" t="n"/>
      <c r="J770" s="26" t="n"/>
    </row>
    <row r="771">
      <c r="H771" s="26" t="n"/>
      <c r="I771" s="26" t="n"/>
      <c r="J771" s="26" t="n"/>
    </row>
    <row r="772">
      <c r="H772" s="26" t="n"/>
      <c r="I772" s="26" t="n"/>
      <c r="J772" s="26" t="n"/>
    </row>
    <row r="773">
      <c r="H773" s="26" t="n"/>
      <c r="I773" s="26" t="n"/>
      <c r="J773" s="26" t="n"/>
    </row>
    <row r="774">
      <c r="H774" s="26" t="n"/>
      <c r="I774" s="26" t="n"/>
      <c r="J774" s="26" t="n"/>
    </row>
    <row r="775">
      <c r="H775" s="26" t="n"/>
      <c r="I775" s="26" t="n"/>
      <c r="J775" s="26" t="n"/>
    </row>
    <row r="776">
      <c r="H776" s="26" t="n"/>
      <c r="I776" s="26" t="n"/>
      <c r="J776" s="26" t="n"/>
    </row>
    <row r="777">
      <c r="H777" s="26" t="n"/>
      <c r="I777" s="26" t="n"/>
      <c r="J777" s="26" t="n"/>
    </row>
    <row r="778">
      <c r="H778" s="26" t="n"/>
      <c r="I778" s="26" t="n"/>
      <c r="J778" s="26" t="n"/>
    </row>
    <row r="779">
      <c r="H779" s="26" t="n"/>
      <c r="I779" s="26" t="n"/>
      <c r="J779" s="26" t="n"/>
    </row>
    <row r="780">
      <c r="H780" s="26" t="n"/>
      <c r="I780" s="26" t="n"/>
      <c r="J780" s="26" t="n"/>
    </row>
    <row r="781">
      <c r="H781" s="26" t="n"/>
      <c r="I781" s="26" t="n"/>
      <c r="J781" s="26" t="n"/>
    </row>
    <row r="782">
      <c r="H782" s="26" t="n"/>
      <c r="I782" s="26" t="n"/>
      <c r="J782" s="26" t="n"/>
    </row>
    <row r="783">
      <c r="H783" s="26" t="n"/>
      <c r="I783" s="26" t="n"/>
      <c r="J783" s="26" t="n"/>
    </row>
    <row r="784">
      <c r="H784" s="26" t="n"/>
      <c r="I784" s="26" t="n"/>
      <c r="J784" s="26" t="n"/>
    </row>
    <row r="785">
      <c r="H785" s="26" t="n"/>
      <c r="I785" s="26" t="n"/>
      <c r="J785" s="26" t="n"/>
    </row>
    <row r="786">
      <c r="H786" s="26" t="n"/>
      <c r="I786" s="26" t="n"/>
      <c r="J786" s="26" t="n"/>
    </row>
    <row r="787">
      <c r="H787" s="26" t="n"/>
      <c r="I787" s="26" t="n"/>
      <c r="J787" s="26" t="n"/>
    </row>
    <row r="788">
      <c r="H788" s="26" t="n"/>
      <c r="I788" s="26" t="n"/>
      <c r="J788" s="26" t="n"/>
    </row>
    <row r="789">
      <c r="H789" s="26" t="n"/>
      <c r="I789" s="26" t="n"/>
      <c r="J789" s="26" t="n"/>
    </row>
    <row r="790">
      <c r="H790" s="26" t="n"/>
      <c r="I790" s="26" t="n"/>
      <c r="J790" s="26" t="n"/>
    </row>
    <row r="791">
      <c r="H791" s="26" t="n"/>
      <c r="I791" s="26" t="n"/>
      <c r="J791" s="26" t="n"/>
    </row>
    <row r="792">
      <c r="H792" s="26" t="n"/>
      <c r="I792" s="26" t="n"/>
      <c r="J792" s="26" t="n"/>
    </row>
    <row r="793">
      <c r="H793" s="26" t="n"/>
      <c r="I793" s="26" t="n"/>
      <c r="J793" s="26" t="n"/>
    </row>
    <row r="794">
      <c r="H794" s="26" t="n"/>
      <c r="I794" s="26" t="n"/>
      <c r="J794" s="26" t="n"/>
    </row>
    <row r="795">
      <c r="H795" s="26" t="n"/>
      <c r="I795" s="26" t="n"/>
      <c r="J795" s="26" t="n"/>
    </row>
    <row r="796">
      <c r="H796" s="26" t="n"/>
      <c r="I796" s="26" t="n"/>
      <c r="J796" s="26" t="n"/>
    </row>
    <row r="797">
      <c r="H797" s="26" t="n"/>
      <c r="I797" s="26" t="n"/>
      <c r="J797" s="26" t="n"/>
    </row>
    <row r="798">
      <c r="H798" s="26" t="n"/>
      <c r="I798" s="26" t="n"/>
      <c r="J798" s="26" t="n"/>
    </row>
    <row r="799">
      <c r="H799" s="26" t="n"/>
      <c r="I799" s="26" t="n"/>
      <c r="J799" s="26" t="n"/>
    </row>
    <row r="800">
      <c r="H800" s="26" t="n"/>
      <c r="I800" s="26" t="n"/>
      <c r="J800" s="26" t="n"/>
    </row>
    <row r="801">
      <c r="H801" s="26" t="n"/>
      <c r="I801" s="26" t="n"/>
      <c r="J801" s="26" t="n"/>
    </row>
    <row r="802">
      <c r="H802" s="26" t="n"/>
      <c r="I802" s="26" t="n"/>
      <c r="J802" s="26" t="n"/>
    </row>
    <row r="803">
      <c r="H803" s="26" t="n"/>
      <c r="I803" s="26" t="n"/>
      <c r="J803" s="26" t="n"/>
    </row>
    <row r="804">
      <c r="H804" s="26" t="n"/>
      <c r="I804" s="26" t="n"/>
      <c r="J804" s="26" t="n"/>
    </row>
    <row r="805">
      <c r="H805" s="26" t="n"/>
      <c r="I805" s="26" t="n"/>
      <c r="J805" s="26" t="n"/>
    </row>
    <row r="806">
      <c r="H806" s="26" t="n"/>
      <c r="I806" s="26" t="n"/>
      <c r="J806" s="26" t="n"/>
    </row>
    <row r="807">
      <c r="H807" s="26" t="n"/>
      <c r="I807" s="26" t="n"/>
      <c r="J807" s="26" t="n"/>
    </row>
    <row r="808">
      <c r="H808" s="26" t="n"/>
      <c r="I808" s="26" t="n"/>
      <c r="J808" s="26" t="n"/>
    </row>
    <row r="809">
      <c r="H809" s="26" t="n"/>
      <c r="I809" s="26" t="n"/>
      <c r="J809" s="26" t="n"/>
    </row>
    <row r="810">
      <c r="H810" s="26" t="n"/>
      <c r="I810" s="26" t="n"/>
      <c r="J810" s="26" t="n"/>
    </row>
    <row r="811">
      <c r="H811" s="26" t="n"/>
      <c r="I811" s="26" t="n"/>
      <c r="J811" s="26" t="n"/>
    </row>
    <row r="812">
      <c r="H812" s="26" t="n"/>
      <c r="I812" s="26" t="n"/>
      <c r="J812" s="26" t="n"/>
    </row>
    <row r="813">
      <c r="H813" s="26" t="n"/>
      <c r="I813" s="26" t="n"/>
      <c r="J813" s="26" t="n"/>
    </row>
    <row r="814">
      <c r="H814" s="26" t="n"/>
      <c r="I814" s="26" t="n"/>
      <c r="J814" s="26" t="n"/>
    </row>
    <row r="815">
      <c r="H815" s="26" t="n"/>
      <c r="I815" s="26" t="n"/>
      <c r="J815" s="26" t="n"/>
    </row>
    <row r="816">
      <c r="H816" s="26" t="n"/>
      <c r="I816" s="26" t="n"/>
      <c r="J816" s="26" t="n"/>
    </row>
    <row r="817">
      <c r="H817" s="26" t="n"/>
      <c r="I817" s="26" t="n"/>
      <c r="J817" s="26" t="n"/>
    </row>
    <row r="818">
      <c r="H818" s="26" t="n"/>
      <c r="I818" s="26" t="n"/>
      <c r="J818" s="26" t="n"/>
    </row>
    <row r="819">
      <c r="H819" s="26" t="n"/>
      <c r="I819" s="26" t="n"/>
      <c r="J819" s="26" t="n"/>
    </row>
    <row r="820">
      <c r="H820" s="26" t="n"/>
      <c r="I820" s="26" t="n"/>
      <c r="J820" s="26" t="n"/>
    </row>
    <row r="821">
      <c r="H821" s="26" t="n"/>
      <c r="I821" s="26" t="n"/>
      <c r="J821" s="26" t="n"/>
    </row>
    <row r="822">
      <c r="H822" s="26" t="n"/>
      <c r="I822" s="26" t="n"/>
      <c r="J822" s="26" t="n"/>
    </row>
    <row r="823">
      <c r="H823" s="26" t="n"/>
      <c r="I823" s="26" t="n"/>
      <c r="J823" s="26" t="n"/>
    </row>
    <row r="824">
      <c r="H824" s="26" t="n"/>
      <c r="I824" s="26" t="n"/>
      <c r="J824" s="26" t="n"/>
    </row>
    <row r="825">
      <c r="H825" s="26" t="n"/>
      <c r="I825" s="26" t="n"/>
      <c r="J825" s="26" t="n"/>
    </row>
    <row r="826">
      <c r="H826" s="26" t="n"/>
      <c r="I826" s="26" t="n"/>
      <c r="J826" s="26" t="n"/>
    </row>
    <row r="827">
      <c r="H827" s="26" t="n"/>
      <c r="I827" s="26" t="n"/>
      <c r="J827" s="26" t="n"/>
    </row>
    <row r="828">
      <c r="H828" s="26" t="n"/>
      <c r="I828" s="26" t="n"/>
      <c r="J828" s="26" t="n"/>
    </row>
    <row r="829">
      <c r="H829" s="26" t="n"/>
      <c r="I829" s="26" t="n"/>
      <c r="J829" s="26" t="n"/>
    </row>
    <row r="830">
      <c r="H830" s="26" t="n"/>
      <c r="I830" s="26" t="n"/>
      <c r="J830" s="26" t="n"/>
    </row>
    <row r="831">
      <c r="H831" s="26" t="n"/>
      <c r="I831" s="26" t="n"/>
      <c r="J831" s="26" t="n"/>
    </row>
    <row r="832">
      <c r="H832" s="26" t="n"/>
      <c r="I832" s="26" t="n"/>
      <c r="J832" s="26" t="n"/>
    </row>
    <row r="833">
      <c r="H833" s="26" t="n"/>
      <c r="I833" s="26" t="n"/>
      <c r="J833" s="26" t="n"/>
    </row>
    <row r="834">
      <c r="H834" s="26" t="n"/>
      <c r="I834" s="26" t="n"/>
      <c r="J834" s="26" t="n"/>
    </row>
    <row r="835">
      <c r="H835" s="26" t="n"/>
      <c r="I835" s="26" t="n"/>
      <c r="J835" s="26" t="n"/>
    </row>
    <row r="836">
      <c r="H836" s="26" t="n"/>
      <c r="I836" s="26" t="n"/>
      <c r="J836" s="26" t="n"/>
    </row>
    <row r="837">
      <c r="H837" s="26" t="n"/>
      <c r="I837" s="26" t="n"/>
      <c r="J837" s="26" t="n"/>
    </row>
    <row r="838">
      <c r="H838" s="26" t="n"/>
      <c r="I838" s="26" t="n"/>
      <c r="J838" s="26" t="n"/>
    </row>
    <row r="839">
      <c r="H839" s="26" t="n"/>
      <c r="I839" s="26" t="n"/>
      <c r="J839" s="26" t="n"/>
    </row>
    <row r="840">
      <c r="H840" s="26" t="n"/>
      <c r="I840" s="26" t="n"/>
      <c r="J840" s="26" t="n"/>
    </row>
    <row r="841">
      <c r="H841" s="26" t="n"/>
      <c r="I841" s="26" t="n"/>
      <c r="J841" s="26" t="n"/>
    </row>
    <row r="842">
      <c r="H842" s="26" t="n"/>
      <c r="I842" s="26" t="n"/>
      <c r="J842" s="26" t="n"/>
    </row>
    <row r="843">
      <c r="H843" s="26" t="n"/>
      <c r="I843" s="26" t="n"/>
      <c r="J843" s="26" t="n"/>
    </row>
    <row r="844">
      <c r="H844" s="26" t="n"/>
      <c r="I844" s="26" t="n"/>
      <c r="J844" s="26" t="n"/>
    </row>
    <row r="845">
      <c r="H845" s="26" t="n"/>
      <c r="I845" s="26" t="n"/>
      <c r="J845" s="26" t="n"/>
    </row>
    <row r="846">
      <c r="H846" s="26" t="n"/>
      <c r="I846" s="26" t="n"/>
      <c r="J846" s="26" t="n"/>
    </row>
    <row r="847">
      <c r="H847" s="26" t="n"/>
      <c r="I847" s="26" t="n"/>
      <c r="J847" s="26" t="n"/>
    </row>
    <row r="848">
      <c r="H848" s="26" t="n"/>
      <c r="I848" s="26" t="n"/>
      <c r="J848" s="26" t="n"/>
    </row>
    <row r="849">
      <c r="H849" s="26" t="n"/>
      <c r="I849" s="26" t="n"/>
      <c r="J849" s="26" t="n"/>
    </row>
    <row r="850">
      <c r="H850" s="26" t="n"/>
      <c r="I850" s="26" t="n"/>
      <c r="J850" s="26" t="n"/>
    </row>
    <row r="851">
      <c r="H851" s="26" t="n"/>
      <c r="I851" s="26" t="n"/>
      <c r="J851" s="26" t="n"/>
    </row>
    <row r="852">
      <c r="H852" s="26" t="n"/>
      <c r="I852" s="26" t="n"/>
      <c r="J852" s="26" t="n"/>
    </row>
    <row r="853">
      <c r="H853" s="26" t="n"/>
      <c r="I853" s="26" t="n"/>
      <c r="J853" s="26" t="n"/>
    </row>
    <row r="854">
      <c r="H854" s="26" t="n"/>
      <c r="I854" s="26" t="n"/>
      <c r="J854" s="26" t="n"/>
    </row>
    <row r="855">
      <c r="H855" s="26" t="n"/>
      <c r="I855" s="26" t="n"/>
      <c r="J855" s="26" t="n"/>
    </row>
    <row r="856">
      <c r="H856" s="26" t="n"/>
      <c r="I856" s="26" t="n"/>
      <c r="J856" s="26" t="n"/>
    </row>
    <row r="857">
      <c r="H857" s="26" t="n"/>
      <c r="I857" s="26" t="n"/>
      <c r="J857" s="26" t="n"/>
    </row>
    <row r="858">
      <c r="H858" s="26" t="n"/>
      <c r="I858" s="26" t="n"/>
      <c r="J858" s="26" t="n"/>
    </row>
    <row r="859">
      <c r="H859" s="26" t="n"/>
      <c r="I859" s="26" t="n"/>
      <c r="J859" s="26" t="n"/>
    </row>
    <row r="860">
      <c r="H860" s="26" t="n"/>
      <c r="I860" s="26" t="n"/>
      <c r="J860" s="26" t="n"/>
    </row>
    <row r="861">
      <c r="H861" s="26" t="n"/>
      <c r="I861" s="26" t="n"/>
      <c r="J861" s="26" t="n"/>
    </row>
    <row r="862">
      <c r="H862" s="26" t="n"/>
      <c r="I862" s="26" t="n"/>
      <c r="J862" s="26" t="n"/>
    </row>
    <row r="863">
      <c r="H863" s="26" t="n"/>
      <c r="I863" s="26" t="n"/>
      <c r="J863" s="26" t="n"/>
    </row>
    <row r="864">
      <c r="H864" s="26" t="n"/>
      <c r="I864" s="26" t="n"/>
      <c r="J864" s="26" t="n"/>
    </row>
    <row r="865">
      <c r="H865" s="26" t="n"/>
      <c r="I865" s="26" t="n"/>
      <c r="J865" s="26" t="n"/>
    </row>
    <row r="866">
      <c r="H866" s="26" t="n"/>
      <c r="I866" s="26" t="n"/>
      <c r="J866" s="26" t="n"/>
    </row>
    <row r="867">
      <c r="H867" s="26" t="n"/>
      <c r="I867" s="26" t="n"/>
      <c r="J867" s="26" t="n"/>
    </row>
    <row r="868">
      <c r="H868" s="26" t="n"/>
      <c r="I868" s="26" t="n"/>
      <c r="J868" s="26" t="n"/>
    </row>
    <row r="869">
      <c r="H869" s="26" t="n"/>
      <c r="I869" s="26" t="n"/>
      <c r="J869" s="26" t="n"/>
    </row>
    <row r="870">
      <c r="H870" s="26" t="n"/>
      <c r="I870" s="26" t="n"/>
      <c r="J870" s="26" t="n"/>
    </row>
    <row r="871">
      <c r="H871" s="26" t="n"/>
      <c r="I871" s="26" t="n"/>
      <c r="J871" s="26" t="n"/>
    </row>
    <row r="872">
      <c r="H872" s="26" t="n"/>
      <c r="I872" s="26" t="n"/>
      <c r="J872" s="26" t="n"/>
    </row>
    <row r="873">
      <c r="H873" s="26" t="n"/>
      <c r="I873" s="26" t="n"/>
      <c r="J873" s="26" t="n"/>
    </row>
    <row r="874">
      <c r="H874" s="26" t="n"/>
      <c r="I874" s="26" t="n"/>
      <c r="J874" s="26" t="n"/>
    </row>
    <row r="875">
      <c r="H875" s="26" t="n"/>
      <c r="I875" s="26" t="n"/>
      <c r="J875" s="26" t="n"/>
    </row>
    <row r="876">
      <c r="H876" s="26" t="n"/>
      <c r="I876" s="26" t="n"/>
      <c r="J876" s="26" t="n"/>
    </row>
    <row r="877">
      <c r="H877" s="26" t="n"/>
      <c r="I877" s="26" t="n"/>
      <c r="J877" s="26" t="n"/>
    </row>
    <row r="878">
      <c r="H878" s="26" t="n"/>
      <c r="I878" s="26" t="n"/>
      <c r="J878" s="26" t="n"/>
    </row>
    <row r="879">
      <c r="H879" s="26" t="n"/>
      <c r="I879" s="26" t="n"/>
      <c r="J879" s="26" t="n"/>
    </row>
    <row r="880">
      <c r="H880" s="26" t="n"/>
      <c r="I880" s="26" t="n"/>
      <c r="J880" s="26" t="n"/>
    </row>
    <row r="881">
      <c r="H881" s="26" t="n"/>
      <c r="I881" s="26" t="n"/>
      <c r="J881" s="26" t="n"/>
    </row>
    <row r="882">
      <c r="H882" s="26" t="n"/>
      <c r="I882" s="26" t="n"/>
      <c r="J882" s="26" t="n"/>
    </row>
    <row r="883">
      <c r="H883" s="26" t="n"/>
      <c r="I883" s="26" t="n"/>
      <c r="J883" s="26" t="n"/>
    </row>
    <row r="884">
      <c r="H884" s="26" t="n"/>
      <c r="I884" s="26" t="n"/>
      <c r="J884" s="26" t="n"/>
    </row>
    <row r="885">
      <c r="H885" s="26" t="n"/>
      <c r="I885" s="26" t="n"/>
      <c r="J885" s="26" t="n"/>
    </row>
    <row r="886">
      <c r="H886" s="26" t="n"/>
      <c r="I886" s="26" t="n"/>
      <c r="J886" s="26" t="n"/>
    </row>
    <row r="887">
      <c r="H887" s="26" t="n"/>
      <c r="I887" s="26" t="n"/>
      <c r="J887" s="26" t="n"/>
    </row>
    <row r="888">
      <c r="H888" s="26" t="n"/>
      <c r="I888" s="26" t="n"/>
      <c r="J888" s="26" t="n"/>
    </row>
    <row r="889">
      <c r="H889" s="26" t="n"/>
      <c r="I889" s="26" t="n"/>
      <c r="J889" s="26" t="n"/>
    </row>
    <row r="890">
      <c r="H890" s="26" t="n"/>
      <c r="I890" s="26" t="n"/>
      <c r="J890" s="26" t="n"/>
    </row>
    <row r="891">
      <c r="H891" s="26" t="n"/>
      <c r="I891" s="26" t="n"/>
      <c r="J891" s="26" t="n"/>
    </row>
    <row r="892">
      <c r="H892" s="26" t="n"/>
      <c r="I892" s="26" t="n"/>
      <c r="J892" s="26" t="n"/>
    </row>
    <row r="893">
      <c r="H893" s="26" t="n"/>
      <c r="I893" s="26" t="n"/>
      <c r="J893" s="26" t="n"/>
    </row>
    <row r="894">
      <c r="H894" s="26" t="n"/>
      <c r="I894" s="26" t="n"/>
      <c r="J894" s="26" t="n"/>
    </row>
    <row r="895">
      <c r="H895" s="26" t="n"/>
      <c r="I895" s="26" t="n"/>
      <c r="J895" s="26" t="n"/>
    </row>
    <row r="896">
      <c r="H896" s="26" t="n"/>
      <c r="I896" s="26" t="n"/>
      <c r="J896" s="26" t="n"/>
    </row>
    <row r="897">
      <c r="H897" s="26" t="n"/>
      <c r="I897" s="26" t="n"/>
      <c r="J897" s="26" t="n"/>
    </row>
    <row r="898">
      <c r="H898" s="26" t="n"/>
      <c r="I898" s="26" t="n"/>
      <c r="J898" s="26" t="n"/>
    </row>
    <row r="899">
      <c r="H899" s="26" t="n"/>
      <c r="I899" s="26" t="n"/>
      <c r="J899" s="26" t="n"/>
    </row>
    <row r="900">
      <c r="H900" s="26" t="n"/>
      <c r="I900" s="26" t="n"/>
      <c r="J900" s="26" t="n"/>
    </row>
    <row r="901">
      <c r="H901" s="26" t="n"/>
      <c r="I901" s="26" t="n"/>
      <c r="J901" s="26" t="n"/>
    </row>
    <row r="902">
      <c r="H902" s="26" t="n"/>
      <c r="I902" s="26" t="n"/>
      <c r="J902" s="26" t="n"/>
    </row>
    <row r="903">
      <c r="H903" s="26" t="n"/>
      <c r="I903" s="26" t="n"/>
      <c r="J903" s="26" t="n"/>
    </row>
    <row r="904">
      <c r="H904" s="26" t="n"/>
      <c r="I904" s="26" t="n"/>
      <c r="J904" s="26" t="n"/>
    </row>
    <row r="905">
      <c r="H905" s="26" t="n"/>
      <c r="I905" s="26" t="n"/>
      <c r="J905" s="26" t="n"/>
    </row>
    <row r="906">
      <c r="H906" s="26" t="n"/>
      <c r="I906" s="26" t="n"/>
      <c r="J906" s="26" t="n"/>
    </row>
    <row r="907">
      <c r="H907" s="26" t="n"/>
      <c r="I907" s="26" t="n"/>
      <c r="J907" s="26" t="n"/>
    </row>
    <row r="908">
      <c r="H908" s="26" t="n"/>
      <c r="I908" s="26" t="n"/>
      <c r="J908" s="26" t="n"/>
    </row>
    <row r="909">
      <c r="H909" s="26" t="n"/>
      <c r="I909" s="26" t="n"/>
      <c r="J909" s="26" t="n"/>
    </row>
    <row r="910">
      <c r="H910" s="26" t="n"/>
      <c r="I910" s="26" t="n"/>
      <c r="J910" s="26" t="n"/>
    </row>
    <row r="911">
      <c r="H911" s="26" t="n"/>
      <c r="I911" s="26" t="n"/>
      <c r="J911" s="26" t="n"/>
    </row>
    <row r="912">
      <c r="H912" s="26" t="n"/>
      <c r="I912" s="26" t="n"/>
      <c r="J912" s="26" t="n"/>
    </row>
    <row r="913">
      <c r="H913" s="26" t="n"/>
      <c r="I913" s="26" t="n"/>
      <c r="J913" s="26" t="n"/>
    </row>
    <row r="914">
      <c r="H914" s="26" t="n"/>
      <c r="I914" s="26" t="n"/>
      <c r="J914" s="26" t="n"/>
    </row>
    <row r="915">
      <c r="H915" s="26" t="n"/>
      <c r="I915" s="26" t="n"/>
      <c r="J915" s="26" t="n"/>
    </row>
    <row r="916">
      <c r="H916" s="26" t="n"/>
      <c r="I916" s="26" t="n"/>
      <c r="J916" s="26" t="n"/>
    </row>
    <row r="917">
      <c r="H917" s="26" t="n"/>
      <c r="I917" s="26" t="n"/>
      <c r="J917" s="26" t="n"/>
    </row>
    <row r="918">
      <c r="H918" s="26" t="n"/>
      <c r="I918" s="26" t="n"/>
      <c r="J918" s="26" t="n"/>
    </row>
    <row r="919">
      <c r="H919" s="26" t="n"/>
      <c r="I919" s="26" t="n"/>
      <c r="J919" s="26" t="n"/>
    </row>
    <row r="920">
      <c r="H920" s="26" t="n"/>
      <c r="I920" s="26" t="n"/>
      <c r="J920" s="26" t="n"/>
    </row>
    <row r="921">
      <c r="H921" s="26" t="n"/>
      <c r="I921" s="26" t="n"/>
      <c r="J921" s="26" t="n"/>
    </row>
    <row r="922">
      <c r="H922" s="26" t="n"/>
      <c r="I922" s="26" t="n"/>
      <c r="J922" s="26" t="n"/>
    </row>
    <row r="923">
      <c r="H923" s="26" t="n"/>
      <c r="I923" s="26" t="n"/>
      <c r="J923" s="26" t="n"/>
    </row>
    <row r="924">
      <c r="H924" s="26" t="n"/>
      <c r="I924" s="26" t="n"/>
      <c r="J924" s="26" t="n"/>
    </row>
    <row r="925">
      <c r="H925" s="26" t="n"/>
      <c r="I925" s="26" t="n"/>
      <c r="J925" s="26" t="n"/>
    </row>
    <row r="926">
      <c r="H926" s="26" t="n"/>
      <c r="I926" s="26" t="n"/>
      <c r="J926" s="26" t="n"/>
    </row>
    <row r="927">
      <c r="H927" s="26" t="n"/>
      <c r="I927" s="26" t="n"/>
      <c r="J927" s="26" t="n"/>
    </row>
    <row r="928">
      <c r="H928" s="26" t="n"/>
      <c r="I928" s="26" t="n"/>
      <c r="J928" s="26" t="n"/>
    </row>
    <row r="929">
      <c r="H929" s="26" t="n"/>
      <c r="I929" s="26" t="n"/>
      <c r="J929" s="26" t="n"/>
    </row>
    <row r="930">
      <c r="H930" s="26" t="n"/>
      <c r="I930" s="26" t="n"/>
      <c r="J930" s="26" t="n"/>
    </row>
    <row r="931">
      <c r="H931" s="26" t="n"/>
      <c r="I931" s="26" t="n"/>
      <c r="J931" s="26" t="n"/>
    </row>
    <row r="932">
      <c r="H932" s="26" t="n"/>
      <c r="I932" s="26" t="n"/>
      <c r="J932" s="26" t="n"/>
    </row>
    <row r="933">
      <c r="H933" s="26" t="n"/>
      <c r="I933" s="26" t="n"/>
      <c r="J933" s="26" t="n"/>
    </row>
    <row r="934">
      <c r="H934" s="26" t="n"/>
      <c r="I934" s="26" t="n"/>
      <c r="J934" s="26" t="n"/>
    </row>
    <row r="935">
      <c r="H935" s="26" t="n"/>
      <c r="I935" s="26" t="n"/>
      <c r="J935" s="26" t="n"/>
    </row>
    <row r="936">
      <c r="H936" s="26" t="n"/>
      <c r="I936" s="26" t="n"/>
      <c r="J936" s="26" t="n"/>
    </row>
    <row r="937">
      <c r="H937" s="26" t="n"/>
      <c r="I937" s="26" t="n"/>
      <c r="J937" s="26" t="n"/>
    </row>
    <row r="938">
      <c r="H938" s="26" t="n"/>
      <c r="I938" s="26" t="n"/>
      <c r="J938" s="26" t="n"/>
    </row>
    <row r="939">
      <c r="H939" s="26" t="n"/>
      <c r="I939" s="26" t="n"/>
      <c r="J939" s="26" t="n"/>
    </row>
    <row r="940">
      <c r="H940" s="26" t="n"/>
      <c r="I940" s="26" t="n"/>
      <c r="J940" s="26" t="n"/>
    </row>
    <row r="941">
      <c r="H941" s="26" t="n"/>
      <c r="I941" s="26" t="n"/>
      <c r="J941" s="26" t="n"/>
    </row>
    <row r="942">
      <c r="H942" s="26" t="n"/>
      <c r="I942" s="26" t="n"/>
      <c r="J942" s="26" t="n"/>
    </row>
    <row r="943">
      <c r="H943" s="26" t="n"/>
      <c r="I943" s="26" t="n"/>
      <c r="J943" s="26" t="n"/>
    </row>
    <row r="944">
      <c r="H944" s="26" t="n"/>
      <c r="I944" s="26" t="n"/>
      <c r="J944" s="26" t="n"/>
    </row>
    <row r="945">
      <c r="H945" s="26" t="n"/>
      <c r="I945" s="26" t="n"/>
      <c r="J945" s="26" t="n"/>
    </row>
    <row r="946">
      <c r="H946" s="26" t="n"/>
      <c r="I946" s="26" t="n"/>
      <c r="J946" s="26" t="n"/>
    </row>
    <row r="947">
      <c r="H947" s="26" t="n"/>
      <c r="I947" s="26" t="n"/>
      <c r="J947" s="26" t="n"/>
    </row>
    <row r="948">
      <c r="H948" s="26" t="n"/>
      <c r="I948" s="26" t="n"/>
      <c r="J948" s="26" t="n"/>
    </row>
    <row r="949">
      <c r="H949" s="26" t="n"/>
      <c r="I949" s="26" t="n"/>
      <c r="J949" s="26" t="n"/>
    </row>
    <row r="950">
      <c r="H950" s="26" t="n"/>
      <c r="I950" s="26" t="n"/>
      <c r="J950" s="26" t="n"/>
    </row>
    <row r="951">
      <c r="H951" s="26" t="n"/>
      <c r="I951" s="26" t="n"/>
      <c r="J951" s="26" t="n"/>
    </row>
    <row r="952">
      <c r="H952" s="26" t="n"/>
      <c r="I952" s="26" t="n"/>
      <c r="J952" s="26" t="n"/>
    </row>
    <row r="953">
      <c r="H953" s="26" t="n"/>
      <c r="I953" s="26" t="n"/>
      <c r="J953" s="26" t="n"/>
    </row>
    <row r="954">
      <c r="H954" s="26" t="n"/>
      <c r="I954" s="26" t="n"/>
      <c r="J954" s="26" t="n"/>
    </row>
    <row r="955">
      <c r="H955" s="26" t="n"/>
      <c r="I955" s="26" t="n"/>
      <c r="J955" s="26" t="n"/>
    </row>
    <row r="956">
      <c r="H956" s="26" t="n"/>
      <c r="I956" s="26" t="n"/>
      <c r="J956" s="26" t="n"/>
    </row>
    <row r="957">
      <c r="H957" s="26" t="n"/>
      <c r="I957" s="26" t="n"/>
      <c r="J957" s="26" t="n"/>
    </row>
    <row r="958">
      <c r="H958" s="26" t="n"/>
      <c r="I958" s="26" t="n"/>
      <c r="J958" s="26" t="n"/>
    </row>
    <row r="959">
      <c r="H959" s="26" t="n"/>
      <c r="I959" s="26" t="n"/>
      <c r="J959" s="26" t="n"/>
    </row>
    <row r="960">
      <c r="H960" s="26" t="n"/>
      <c r="I960" s="26" t="n"/>
      <c r="J960" s="26" t="n"/>
    </row>
    <row r="961">
      <c r="H961" s="26" t="n"/>
      <c r="I961" s="26" t="n"/>
      <c r="J961" s="26" t="n"/>
    </row>
    <row r="962">
      <c r="H962" s="26" t="n"/>
      <c r="I962" s="26" t="n"/>
      <c r="J962" s="26" t="n"/>
    </row>
    <row r="963">
      <c r="H963" s="26" t="n"/>
      <c r="I963" s="26" t="n"/>
      <c r="J963" s="26" t="n"/>
    </row>
    <row r="964">
      <c r="H964" s="26" t="n"/>
      <c r="I964" s="26" t="n"/>
      <c r="J964" s="26" t="n"/>
    </row>
    <row r="965">
      <c r="H965" s="26" t="n"/>
      <c r="I965" s="26" t="n"/>
      <c r="J965" s="26" t="n"/>
    </row>
    <row r="966">
      <c r="H966" s="26" t="n"/>
      <c r="I966" s="26" t="n"/>
      <c r="J966" s="26" t="n"/>
    </row>
    <row r="967">
      <c r="H967" s="26" t="n"/>
      <c r="I967" s="26" t="n"/>
      <c r="J967" s="26" t="n"/>
    </row>
    <row r="968">
      <c r="H968" s="26" t="n"/>
      <c r="I968" s="26" t="n"/>
      <c r="J968" s="26" t="n"/>
    </row>
    <row r="969">
      <c r="H969" s="26" t="n"/>
      <c r="I969" s="26" t="n"/>
      <c r="J969" s="26" t="n"/>
    </row>
    <row r="970">
      <c r="H970" s="26" t="n"/>
      <c r="I970" s="26" t="n"/>
      <c r="J970" s="26" t="n"/>
    </row>
    <row r="971">
      <c r="H971" s="26" t="n"/>
      <c r="I971" s="26" t="n"/>
      <c r="J971" s="26" t="n"/>
    </row>
    <row r="972">
      <c r="H972" s="26" t="n"/>
      <c r="I972" s="26" t="n"/>
      <c r="J972" s="26" t="n"/>
    </row>
    <row r="973">
      <c r="H973" s="26" t="n"/>
      <c r="I973" s="26" t="n"/>
      <c r="J973" s="26" t="n"/>
    </row>
    <row r="974">
      <c r="H974" s="26" t="n"/>
      <c r="I974" s="26" t="n"/>
      <c r="J974" s="26" t="n"/>
    </row>
    <row r="975">
      <c r="H975" s="26" t="n"/>
      <c r="I975" s="26" t="n"/>
      <c r="J975" s="26" t="n"/>
    </row>
    <row r="976">
      <c r="H976" s="26" t="n"/>
      <c r="I976" s="26" t="n"/>
      <c r="J976" s="26" t="n"/>
    </row>
    <row r="977">
      <c r="H977" s="26" t="n"/>
      <c r="I977" s="26" t="n"/>
      <c r="J977" s="26" t="n"/>
    </row>
    <row r="978">
      <c r="H978" s="26" t="n"/>
      <c r="I978" s="26" t="n"/>
      <c r="J978" s="26" t="n"/>
    </row>
    <row r="979">
      <c r="H979" s="26" t="n"/>
      <c r="I979" s="26" t="n"/>
      <c r="J979" s="26" t="n"/>
    </row>
    <row r="980">
      <c r="H980" s="26" t="n"/>
      <c r="I980" s="26" t="n"/>
      <c r="J980" s="26" t="n"/>
    </row>
    <row r="981">
      <c r="H981" s="26" t="n"/>
      <c r="I981" s="26" t="n"/>
      <c r="J981" s="26" t="n"/>
    </row>
    <row r="982">
      <c r="H982" s="26" t="n"/>
      <c r="I982" s="26" t="n"/>
      <c r="J982" s="26" t="n"/>
    </row>
    <row r="983">
      <c r="H983" s="26" t="n"/>
      <c r="I983" s="26" t="n"/>
      <c r="J983" s="26" t="n"/>
    </row>
    <row r="984">
      <c r="H984" s="26" t="n"/>
      <c r="I984" s="26" t="n"/>
      <c r="J984" s="26" t="n"/>
    </row>
    <row r="985">
      <c r="H985" s="26" t="n"/>
      <c r="I985" s="26" t="n"/>
      <c r="J985" s="26" t="n"/>
    </row>
    <row r="986">
      <c r="H986" s="26" t="n"/>
      <c r="I986" s="26" t="n"/>
      <c r="J986" s="26" t="n"/>
    </row>
    <row r="987">
      <c r="H987" s="26" t="n"/>
      <c r="I987" s="26" t="n"/>
      <c r="J987" s="26" t="n"/>
    </row>
    <row r="988">
      <c r="H988" s="26" t="n"/>
      <c r="I988" s="26" t="n"/>
      <c r="J988" s="26" t="n"/>
    </row>
    <row r="989">
      <c r="H989" s="26" t="n"/>
      <c r="I989" s="26" t="n"/>
      <c r="J989" s="26" t="n"/>
    </row>
    <row r="990">
      <c r="H990" s="26" t="n"/>
      <c r="I990" s="26" t="n"/>
      <c r="J990" s="26" t="n"/>
    </row>
    <row r="991">
      <c r="H991" s="26" t="n"/>
      <c r="I991" s="26" t="n"/>
      <c r="J991" s="26" t="n"/>
    </row>
    <row r="992">
      <c r="H992" s="26" t="n"/>
      <c r="I992" s="26" t="n"/>
      <c r="J992" s="26" t="n"/>
    </row>
    <row r="993">
      <c r="H993" s="26" t="n"/>
      <c r="I993" s="26" t="n"/>
      <c r="J993" s="26" t="n"/>
    </row>
    <row r="994">
      <c r="H994" s="26" t="n"/>
      <c r="I994" s="26" t="n"/>
      <c r="J994" s="26" t="n"/>
    </row>
    <row r="995">
      <c r="H995" s="26" t="n"/>
      <c r="I995" s="26" t="n"/>
      <c r="J995" s="26" t="n"/>
    </row>
    <row r="996">
      <c r="H996" s="26" t="n"/>
      <c r="I996" s="26" t="n"/>
      <c r="J996" s="26" t="n"/>
    </row>
    <row r="997">
      <c r="H997" s="26" t="n"/>
      <c r="I997" s="26" t="n"/>
      <c r="J997" s="26" t="n"/>
    </row>
    <row r="998">
      <c r="H998" s="26" t="n"/>
      <c r="I998" s="26" t="n"/>
      <c r="J998" s="26" t="n"/>
    </row>
    <row r="999">
      <c r="H999" s="26" t="n"/>
      <c r="I999" s="26" t="n"/>
      <c r="J999" s="26" t="n"/>
    </row>
    <row r="1000">
      <c r="H1000" s="26" t="n"/>
      <c r="I1000" s="26" t="n"/>
      <c r="J1000" s="26" t="n"/>
    </row>
    <row r="1001">
      <c r="H1001" s="26" t="n"/>
      <c r="I1001" s="26" t="n"/>
      <c r="J1001" s="26" t="n"/>
    </row>
    <row r="1002">
      <c r="H1002" s="26" t="n"/>
      <c r="I1002" s="26" t="n"/>
      <c r="J1002" s="26" t="n"/>
    </row>
    <row r="1003">
      <c r="H1003" s="26" t="n"/>
      <c r="I1003" s="26" t="n"/>
      <c r="J1003" s="26" t="n"/>
    </row>
    <row r="1004">
      <c r="H1004" s="26" t="n"/>
      <c r="I1004" s="26" t="n"/>
      <c r="J1004" s="26" t="n"/>
    </row>
    <row r="1005">
      <c r="H1005" s="26" t="n"/>
      <c r="I1005" s="26" t="n"/>
      <c r="J1005" s="26" t="n"/>
    </row>
    <row r="1006">
      <c r="H1006" s="26" t="n"/>
      <c r="I1006" s="26" t="n"/>
      <c r="J1006" s="26" t="n"/>
    </row>
  </sheetData>
  <hyperlinks>
    <hyperlink xmlns:r="http://schemas.openxmlformats.org/officeDocument/2006/relationships" ref="C3" r:id="rId1"/>
    <hyperlink xmlns:r="http://schemas.openxmlformats.org/officeDocument/2006/relationships" ref="D3" r:id="rId2"/>
    <hyperlink xmlns:r="http://schemas.openxmlformats.org/officeDocument/2006/relationships" ref="F3" r:id="rId3"/>
    <hyperlink xmlns:r="http://schemas.openxmlformats.org/officeDocument/2006/relationships" ref="G3" r:id="rId4"/>
    <hyperlink xmlns:r="http://schemas.openxmlformats.org/officeDocument/2006/relationships" ref="C4" r:id="rId5"/>
    <hyperlink xmlns:r="http://schemas.openxmlformats.org/officeDocument/2006/relationships" ref="D4" r:id="rId6"/>
    <hyperlink xmlns:r="http://schemas.openxmlformats.org/officeDocument/2006/relationships" ref="F4" r:id="rId7"/>
    <hyperlink xmlns:r="http://schemas.openxmlformats.org/officeDocument/2006/relationships" ref="G4" r:id="rId8"/>
    <hyperlink xmlns:r="http://schemas.openxmlformats.org/officeDocument/2006/relationships" ref="C5" r:id="rId9"/>
    <hyperlink xmlns:r="http://schemas.openxmlformats.org/officeDocument/2006/relationships" ref="D5" r:id="rId10"/>
    <hyperlink xmlns:r="http://schemas.openxmlformats.org/officeDocument/2006/relationships" ref="F5" r:id="rId11"/>
    <hyperlink xmlns:r="http://schemas.openxmlformats.org/officeDocument/2006/relationships" ref="C6" r:id="rId12"/>
    <hyperlink xmlns:r="http://schemas.openxmlformats.org/officeDocument/2006/relationships" ref="D6" r:id="rId13"/>
    <hyperlink xmlns:r="http://schemas.openxmlformats.org/officeDocument/2006/relationships" ref="F6" r:id="rId14"/>
    <hyperlink xmlns:r="http://schemas.openxmlformats.org/officeDocument/2006/relationships" ref="C7" r:id="rId15"/>
    <hyperlink xmlns:r="http://schemas.openxmlformats.org/officeDocument/2006/relationships" ref="F7" r:id="rId16"/>
    <hyperlink xmlns:r="http://schemas.openxmlformats.org/officeDocument/2006/relationships" ref="C8" r:id="rId17"/>
    <hyperlink xmlns:r="http://schemas.openxmlformats.org/officeDocument/2006/relationships" ref="D8" r:id="rId18"/>
    <hyperlink xmlns:r="http://schemas.openxmlformats.org/officeDocument/2006/relationships" ref="F8" r:id="rId19"/>
    <hyperlink xmlns:r="http://schemas.openxmlformats.org/officeDocument/2006/relationships" ref="C9" r:id="rId20"/>
    <hyperlink xmlns:r="http://schemas.openxmlformats.org/officeDocument/2006/relationships" ref="D9" r:id="rId21"/>
    <hyperlink xmlns:r="http://schemas.openxmlformats.org/officeDocument/2006/relationships" ref="F9" r:id="rId22"/>
    <hyperlink xmlns:r="http://schemas.openxmlformats.org/officeDocument/2006/relationships" ref="G9" r:id="rId23"/>
    <hyperlink xmlns:r="http://schemas.openxmlformats.org/officeDocument/2006/relationships" ref="C10" r:id="rId24"/>
    <hyperlink xmlns:r="http://schemas.openxmlformats.org/officeDocument/2006/relationships" ref="D10" r:id="rId25"/>
    <hyperlink xmlns:r="http://schemas.openxmlformats.org/officeDocument/2006/relationships" ref="F10" r:id="rId26"/>
    <hyperlink xmlns:r="http://schemas.openxmlformats.org/officeDocument/2006/relationships" ref="G10" r:id="rId27"/>
    <hyperlink xmlns:r="http://schemas.openxmlformats.org/officeDocument/2006/relationships" ref="C11" r:id="rId28"/>
    <hyperlink xmlns:r="http://schemas.openxmlformats.org/officeDocument/2006/relationships" ref="D11" r:id="rId29"/>
    <hyperlink xmlns:r="http://schemas.openxmlformats.org/officeDocument/2006/relationships" ref="F11" r:id="rId30"/>
    <hyperlink xmlns:r="http://schemas.openxmlformats.org/officeDocument/2006/relationships" ref="C12" r:id="rId31"/>
    <hyperlink xmlns:r="http://schemas.openxmlformats.org/officeDocument/2006/relationships" ref="D12" r:id="rId32"/>
    <hyperlink xmlns:r="http://schemas.openxmlformats.org/officeDocument/2006/relationships" ref="F12" r:id="rId33"/>
    <hyperlink xmlns:r="http://schemas.openxmlformats.org/officeDocument/2006/relationships" ref="C13" r:id="rId34"/>
    <hyperlink xmlns:r="http://schemas.openxmlformats.org/officeDocument/2006/relationships" ref="D13" r:id="rId35"/>
    <hyperlink xmlns:r="http://schemas.openxmlformats.org/officeDocument/2006/relationships" ref="F13" r:id="rId36"/>
    <hyperlink xmlns:r="http://schemas.openxmlformats.org/officeDocument/2006/relationships" ref="C14" r:id="rId37"/>
    <hyperlink xmlns:r="http://schemas.openxmlformats.org/officeDocument/2006/relationships" ref="D14" r:id="rId38"/>
    <hyperlink xmlns:r="http://schemas.openxmlformats.org/officeDocument/2006/relationships" ref="F14" r:id="rId39"/>
    <hyperlink xmlns:r="http://schemas.openxmlformats.org/officeDocument/2006/relationships" ref="G14" r:id="rId40"/>
    <hyperlink xmlns:r="http://schemas.openxmlformats.org/officeDocument/2006/relationships" ref="C15" r:id="rId41"/>
    <hyperlink xmlns:r="http://schemas.openxmlformats.org/officeDocument/2006/relationships" ref="D15" r:id="rId42"/>
    <hyperlink xmlns:r="http://schemas.openxmlformats.org/officeDocument/2006/relationships" ref="F15" r:id="rId43"/>
    <hyperlink xmlns:r="http://schemas.openxmlformats.org/officeDocument/2006/relationships" ref="G15" r:id="rId44"/>
    <hyperlink xmlns:r="http://schemas.openxmlformats.org/officeDocument/2006/relationships" ref="C16" r:id="rId45"/>
    <hyperlink xmlns:r="http://schemas.openxmlformats.org/officeDocument/2006/relationships" ref="D16" r:id="rId46"/>
    <hyperlink xmlns:r="http://schemas.openxmlformats.org/officeDocument/2006/relationships" ref="F16" r:id="rId47"/>
    <hyperlink xmlns:r="http://schemas.openxmlformats.org/officeDocument/2006/relationships" ref="C17" r:id="rId48"/>
    <hyperlink xmlns:r="http://schemas.openxmlformats.org/officeDocument/2006/relationships" ref="D17" r:id="rId49"/>
    <hyperlink xmlns:r="http://schemas.openxmlformats.org/officeDocument/2006/relationships" ref="F17" r:id="rId50"/>
    <hyperlink xmlns:r="http://schemas.openxmlformats.org/officeDocument/2006/relationships" ref="C18" r:id="rId51"/>
    <hyperlink xmlns:r="http://schemas.openxmlformats.org/officeDocument/2006/relationships" ref="D18" r:id="rId52"/>
    <hyperlink xmlns:r="http://schemas.openxmlformats.org/officeDocument/2006/relationships" ref="F18" r:id="rId53"/>
    <hyperlink xmlns:r="http://schemas.openxmlformats.org/officeDocument/2006/relationships" ref="G18" r:id="rId54"/>
    <hyperlink xmlns:r="http://schemas.openxmlformats.org/officeDocument/2006/relationships" ref="C19" r:id="rId55"/>
    <hyperlink xmlns:r="http://schemas.openxmlformats.org/officeDocument/2006/relationships" ref="D19" r:id="rId56"/>
    <hyperlink xmlns:r="http://schemas.openxmlformats.org/officeDocument/2006/relationships" ref="F19" r:id="rId57"/>
    <hyperlink xmlns:r="http://schemas.openxmlformats.org/officeDocument/2006/relationships" ref="G19" r:id="rId58"/>
    <hyperlink xmlns:r="http://schemas.openxmlformats.org/officeDocument/2006/relationships" ref="C20" r:id="rId59"/>
    <hyperlink xmlns:r="http://schemas.openxmlformats.org/officeDocument/2006/relationships" ref="D20" r:id="rId60"/>
    <hyperlink xmlns:r="http://schemas.openxmlformats.org/officeDocument/2006/relationships" ref="F20" r:id="rId61"/>
    <hyperlink xmlns:r="http://schemas.openxmlformats.org/officeDocument/2006/relationships" ref="C21" r:id="rId62"/>
    <hyperlink xmlns:r="http://schemas.openxmlformats.org/officeDocument/2006/relationships" ref="D21" r:id="rId63"/>
    <hyperlink xmlns:r="http://schemas.openxmlformats.org/officeDocument/2006/relationships" ref="F21" r:id="rId64"/>
    <hyperlink xmlns:r="http://schemas.openxmlformats.org/officeDocument/2006/relationships" ref="C22" r:id="rId65"/>
    <hyperlink xmlns:r="http://schemas.openxmlformats.org/officeDocument/2006/relationships" ref="D22" r:id="rId66"/>
    <hyperlink xmlns:r="http://schemas.openxmlformats.org/officeDocument/2006/relationships" ref="F22" r:id="rId67"/>
    <hyperlink xmlns:r="http://schemas.openxmlformats.org/officeDocument/2006/relationships" ref="G22" r:id="rId68"/>
    <hyperlink xmlns:r="http://schemas.openxmlformats.org/officeDocument/2006/relationships" ref="C23" r:id="rId69"/>
    <hyperlink xmlns:r="http://schemas.openxmlformats.org/officeDocument/2006/relationships" ref="D23" r:id="rId70"/>
    <hyperlink xmlns:r="http://schemas.openxmlformats.org/officeDocument/2006/relationships" ref="F23" r:id="rId71"/>
    <hyperlink xmlns:r="http://schemas.openxmlformats.org/officeDocument/2006/relationships" ref="G23" r:id="rId72"/>
    <hyperlink xmlns:r="http://schemas.openxmlformats.org/officeDocument/2006/relationships" ref="C24" r:id="rId73"/>
    <hyperlink xmlns:r="http://schemas.openxmlformats.org/officeDocument/2006/relationships" ref="D24" r:id="rId74"/>
    <hyperlink xmlns:r="http://schemas.openxmlformats.org/officeDocument/2006/relationships" ref="F24" r:id="rId75"/>
    <hyperlink xmlns:r="http://schemas.openxmlformats.org/officeDocument/2006/relationships" ref="C25" r:id="rId76"/>
    <hyperlink xmlns:r="http://schemas.openxmlformats.org/officeDocument/2006/relationships" ref="D25" r:id="rId77"/>
    <hyperlink xmlns:r="http://schemas.openxmlformats.org/officeDocument/2006/relationships" ref="F25" r:id="rId78"/>
    <hyperlink xmlns:r="http://schemas.openxmlformats.org/officeDocument/2006/relationships" ref="G25" r:id="rId79"/>
    <hyperlink xmlns:r="http://schemas.openxmlformats.org/officeDocument/2006/relationships" ref="C26" r:id="rId80"/>
    <hyperlink xmlns:r="http://schemas.openxmlformats.org/officeDocument/2006/relationships" ref="D26" r:id="rId81"/>
    <hyperlink xmlns:r="http://schemas.openxmlformats.org/officeDocument/2006/relationships" ref="F26" r:id="rId82"/>
    <hyperlink xmlns:r="http://schemas.openxmlformats.org/officeDocument/2006/relationships" ref="G26" r:id="rId83"/>
    <hyperlink xmlns:r="http://schemas.openxmlformats.org/officeDocument/2006/relationships" ref="C27" r:id="rId84"/>
    <hyperlink xmlns:r="http://schemas.openxmlformats.org/officeDocument/2006/relationships" ref="D27" r:id="rId85"/>
    <hyperlink xmlns:r="http://schemas.openxmlformats.org/officeDocument/2006/relationships" ref="F27" r:id="rId86"/>
    <hyperlink xmlns:r="http://schemas.openxmlformats.org/officeDocument/2006/relationships" ref="G27" r:id="rId87"/>
    <hyperlink xmlns:r="http://schemas.openxmlformats.org/officeDocument/2006/relationships" ref="C30" r:id="rId88"/>
    <hyperlink xmlns:r="http://schemas.openxmlformats.org/officeDocument/2006/relationships" ref="D30" r:id="rId89"/>
    <hyperlink xmlns:r="http://schemas.openxmlformats.org/officeDocument/2006/relationships" ref="F30" r:id="rId90"/>
    <hyperlink xmlns:r="http://schemas.openxmlformats.org/officeDocument/2006/relationships" ref="G30" r:id="rId91"/>
    <hyperlink xmlns:r="http://schemas.openxmlformats.org/officeDocument/2006/relationships" ref="C32" r:id="rId92"/>
    <hyperlink xmlns:r="http://schemas.openxmlformats.org/officeDocument/2006/relationships" ref="D32" r:id="rId93"/>
    <hyperlink xmlns:r="http://schemas.openxmlformats.org/officeDocument/2006/relationships" ref="F32" r:id="rId94"/>
    <hyperlink xmlns:r="http://schemas.openxmlformats.org/officeDocument/2006/relationships" ref="C33" r:id="rId95"/>
    <hyperlink xmlns:r="http://schemas.openxmlformats.org/officeDocument/2006/relationships" ref="D33" r:id="rId96"/>
    <hyperlink xmlns:r="http://schemas.openxmlformats.org/officeDocument/2006/relationships" ref="F33" r:id="rId97"/>
    <hyperlink xmlns:r="http://schemas.openxmlformats.org/officeDocument/2006/relationships" ref="G33" r:id="rId98"/>
    <hyperlink xmlns:r="http://schemas.openxmlformats.org/officeDocument/2006/relationships" ref="C34" r:id="rId99"/>
    <hyperlink xmlns:r="http://schemas.openxmlformats.org/officeDocument/2006/relationships" ref="D34" r:id="rId100"/>
    <hyperlink xmlns:r="http://schemas.openxmlformats.org/officeDocument/2006/relationships" ref="G34" r:id="rId101"/>
    <hyperlink xmlns:r="http://schemas.openxmlformats.org/officeDocument/2006/relationships" ref="C35" r:id="rId102"/>
    <hyperlink xmlns:r="http://schemas.openxmlformats.org/officeDocument/2006/relationships" ref="C36" r:id="rId103"/>
    <hyperlink xmlns:r="http://schemas.openxmlformats.org/officeDocument/2006/relationships" ref="D36" r:id="rId104"/>
    <hyperlink xmlns:r="http://schemas.openxmlformats.org/officeDocument/2006/relationships" ref="F36" r:id="rId105"/>
    <hyperlink xmlns:r="http://schemas.openxmlformats.org/officeDocument/2006/relationships" ref="C37" r:id="rId106"/>
    <hyperlink xmlns:r="http://schemas.openxmlformats.org/officeDocument/2006/relationships" ref="D37" r:id="rId107"/>
    <hyperlink xmlns:r="http://schemas.openxmlformats.org/officeDocument/2006/relationships" ref="F37" r:id="rId108"/>
    <hyperlink xmlns:r="http://schemas.openxmlformats.org/officeDocument/2006/relationships" ref="C38" r:id="rId109"/>
    <hyperlink xmlns:r="http://schemas.openxmlformats.org/officeDocument/2006/relationships" ref="D38" r:id="rId110"/>
    <hyperlink xmlns:r="http://schemas.openxmlformats.org/officeDocument/2006/relationships" ref="F38" r:id="rId111"/>
    <hyperlink xmlns:r="http://schemas.openxmlformats.org/officeDocument/2006/relationships" ref="C39" r:id="rId112"/>
    <hyperlink xmlns:r="http://schemas.openxmlformats.org/officeDocument/2006/relationships" ref="D39" r:id="rId113"/>
    <hyperlink xmlns:r="http://schemas.openxmlformats.org/officeDocument/2006/relationships" ref="G39" r:id="rId114"/>
    <hyperlink xmlns:r="http://schemas.openxmlformats.org/officeDocument/2006/relationships" ref="C40" r:id="rId115"/>
    <hyperlink xmlns:r="http://schemas.openxmlformats.org/officeDocument/2006/relationships" ref="D40" r:id="rId116"/>
    <hyperlink xmlns:r="http://schemas.openxmlformats.org/officeDocument/2006/relationships" ref="F40" r:id="rId117"/>
    <hyperlink xmlns:r="http://schemas.openxmlformats.org/officeDocument/2006/relationships" ref="C42" r:id="rId118"/>
    <hyperlink xmlns:r="http://schemas.openxmlformats.org/officeDocument/2006/relationships" ref="D42" r:id="rId119"/>
    <hyperlink xmlns:r="http://schemas.openxmlformats.org/officeDocument/2006/relationships" ref="F42" r:id="rId120"/>
    <hyperlink xmlns:r="http://schemas.openxmlformats.org/officeDocument/2006/relationships" ref="G42" r:id="rId121"/>
    <hyperlink xmlns:r="http://schemas.openxmlformats.org/officeDocument/2006/relationships" ref="C44" r:id="rId122"/>
    <hyperlink xmlns:r="http://schemas.openxmlformats.org/officeDocument/2006/relationships" ref="D44" r:id="rId123"/>
    <hyperlink xmlns:r="http://schemas.openxmlformats.org/officeDocument/2006/relationships" ref="F44" r:id="rId124"/>
    <hyperlink xmlns:r="http://schemas.openxmlformats.org/officeDocument/2006/relationships" ref="G44" r:id="rId125"/>
    <hyperlink xmlns:r="http://schemas.openxmlformats.org/officeDocument/2006/relationships" ref="C45" r:id="rId126"/>
    <hyperlink xmlns:r="http://schemas.openxmlformats.org/officeDocument/2006/relationships" ref="D45" r:id="rId127"/>
    <hyperlink xmlns:r="http://schemas.openxmlformats.org/officeDocument/2006/relationships" ref="F45" r:id="rId128"/>
    <hyperlink xmlns:r="http://schemas.openxmlformats.org/officeDocument/2006/relationships" ref="G45" r:id="rId129"/>
    <hyperlink xmlns:r="http://schemas.openxmlformats.org/officeDocument/2006/relationships" ref="C46" r:id="rId130"/>
    <hyperlink xmlns:r="http://schemas.openxmlformats.org/officeDocument/2006/relationships" ref="D46" r:id="rId131"/>
    <hyperlink xmlns:r="http://schemas.openxmlformats.org/officeDocument/2006/relationships" ref="F46" r:id="rId132"/>
    <hyperlink xmlns:r="http://schemas.openxmlformats.org/officeDocument/2006/relationships" ref="G46" r:id="rId133"/>
    <hyperlink xmlns:r="http://schemas.openxmlformats.org/officeDocument/2006/relationships" ref="C48" r:id="rId134"/>
    <hyperlink xmlns:r="http://schemas.openxmlformats.org/officeDocument/2006/relationships" ref="D48" r:id="rId135"/>
    <hyperlink xmlns:r="http://schemas.openxmlformats.org/officeDocument/2006/relationships" ref="F48" r:id="rId136"/>
    <hyperlink xmlns:r="http://schemas.openxmlformats.org/officeDocument/2006/relationships" ref="C49" r:id="rId137"/>
    <hyperlink xmlns:r="http://schemas.openxmlformats.org/officeDocument/2006/relationships" ref="D49" r:id="rId138"/>
    <hyperlink xmlns:r="http://schemas.openxmlformats.org/officeDocument/2006/relationships" ref="F49" r:id="rId139"/>
    <hyperlink xmlns:r="http://schemas.openxmlformats.org/officeDocument/2006/relationships" ref="G49" r:id="rId140"/>
    <hyperlink xmlns:r="http://schemas.openxmlformats.org/officeDocument/2006/relationships" ref="C50" r:id="rId141"/>
    <hyperlink xmlns:r="http://schemas.openxmlformats.org/officeDocument/2006/relationships" ref="F50" r:id="rId142"/>
    <hyperlink xmlns:r="http://schemas.openxmlformats.org/officeDocument/2006/relationships" ref="C51" r:id="rId143"/>
    <hyperlink xmlns:r="http://schemas.openxmlformats.org/officeDocument/2006/relationships" ref="D51" r:id="rId144"/>
    <hyperlink xmlns:r="http://schemas.openxmlformats.org/officeDocument/2006/relationships" ref="F51" r:id="rId145"/>
    <hyperlink xmlns:r="http://schemas.openxmlformats.org/officeDocument/2006/relationships" ref="G51" r:id="rId146"/>
    <hyperlink xmlns:r="http://schemas.openxmlformats.org/officeDocument/2006/relationships" ref="C53" r:id="rId147"/>
    <hyperlink xmlns:r="http://schemas.openxmlformats.org/officeDocument/2006/relationships" ref="D53" r:id="rId148"/>
    <hyperlink xmlns:r="http://schemas.openxmlformats.org/officeDocument/2006/relationships" ref="F53" r:id="rId149"/>
    <hyperlink xmlns:r="http://schemas.openxmlformats.org/officeDocument/2006/relationships" ref="C54" r:id="rId150"/>
    <hyperlink xmlns:r="http://schemas.openxmlformats.org/officeDocument/2006/relationships" ref="D54" r:id="rId151"/>
    <hyperlink xmlns:r="http://schemas.openxmlformats.org/officeDocument/2006/relationships" ref="F54" r:id="rId152"/>
    <hyperlink xmlns:r="http://schemas.openxmlformats.org/officeDocument/2006/relationships" ref="G54" r:id="rId153"/>
    <hyperlink xmlns:r="http://schemas.openxmlformats.org/officeDocument/2006/relationships" ref="C55" r:id="rId154"/>
    <hyperlink xmlns:r="http://schemas.openxmlformats.org/officeDocument/2006/relationships" ref="D55" r:id="rId155"/>
    <hyperlink xmlns:r="http://schemas.openxmlformats.org/officeDocument/2006/relationships" ref="F55" r:id="rId156"/>
    <hyperlink xmlns:r="http://schemas.openxmlformats.org/officeDocument/2006/relationships" ref="G55" r:id="rId157"/>
    <hyperlink xmlns:r="http://schemas.openxmlformats.org/officeDocument/2006/relationships" ref="C56" r:id="rId158"/>
    <hyperlink xmlns:r="http://schemas.openxmlformats.org/officeDocument/2006/relationships" ref="D56" r:id="rId159"/>
    <hyperlink xmlns:r="http://schemas.openxmlformats.org/officeDocument/2006/relationships" ref="F56" r:id="rId160"/>
    <hyperlink xmlns:r="http://schemas.openxmlformats.org/officeDocument/2006/relationships" ref="G56" r:id="rId161"/>
    <hyperlink xmlns:r="http://schemas.openxmlformats.org/officeDocument/2006/relationships" ref="C57" r:id="rId162"/>
    <hyperlink xmlns:r="http://schemas.openxmlformats.org/officeDocument/2006/relationships" ref="D57" r:id="rId163"/>
    <hyperlink xmlns:r="http://schemas.openxmlformats.org/officeDocument/2006/relationships" ref="F57" r:id="rId164"/>
    <hyperlink xmlns:r="http://schemas.openxmlformats.org/officeDocument/2006/relationships" ref="G57" r:id="rId165"/>
    <hyperlink xmlns:r="http://schemas.openxmlformats.org/officeDocument/2006/relationships" ref="C58" r:id="rId166"/>
    <hyperlink xmlns:r="http://schemas.openxmlformats.org/officeDocument/2006/relationships" ref="C59" r:id="rId167"/>
    <hyperlink xmlns:r="http://schemas.openxmlformats.org/officeDocument/2006/relationships" ref="D59" r:id="rId168"/>
    <hyperlink xmlns:r="http://schemas.openxmlformats.org/officeDocument/2006/relationships" ref="G59" r:id="rId169"/>
    <hyperlink xmlns:r="http://schemas.openxmlformats.org/officeDocument/2006/relationships" ref="C60" r:id="rId170"/>
    <hyperlink xmlns:r="http://schemas.openxmlformats.org/officeDocument/2006/relationships" ref="D60" r:id="rId171"/>
    <hyperlink xmlns:r="http://schemas.openxmlformats.org/officeDocument/2006/relationships" ref="F60" r:id="rId172"/>
    <hyperlink xmlns:r="http://schemas.openxmlformats.org/officeDocument/2006/relationships" ref="G60" r:id="rId173"/>
    <hyperlink xmlns:r="http://schemas.openxmlformats.org/officeDocument/2006/relationships" ref="C61" r:id="rId174"/>
    <hyperlink xmlns:r="http://schemas.openxmlformats.org/officeDocument/2006/relationships" ref="D61" r:id="rId175"/>
    <hyperlink xmlns:r="http://schemas.openxmlformats.org/officeDocument/2006/relationships" ref="F61" r:id="rId176"/>
    <hyperlink xmlns:r="http://schemas.openxmlformats.org/officeDocument/2006/relationships" ref="G61" r:id="rId177"/>
    <hyperlink xmlns:r="http://schemas.openxmlformats.org/officeDocument/2006/relationships" ref="C62" r:id="rId178"/>
    <hyperlink xmlns:r="http://schemas.openxmlformats.org/officeDocument/2006/relationships" ref="F62" r:id="rId179"/>
    <hyperlink xmlns:r="http://schemas.openxmlformats.org/officeDocument/2006/relationships" ref="G62" r:id="rId180"/>
    <hyperlink xmlns:r="http://schemas.openxmlformats.org/officeDocument/2006/relationships" ref="C63" r:id="rId181"/>
    <hyperlink xmlns:r="http://schemas.openxmlformats.org/officeDocument/2006/relationships" ref="D63" r:id="rId182"/>
    <hyperlink xmlns:r="http://schemas.openxmlformats.org/officeDocument/2006/relationships" ref="F63" r:id="rId183"/>
    <hyperlink xmlns:r="http://schemas.openxmlformats.org/officeDocument/2006/relationships" ref="C64" r:id="rId184"/>
    <hyperlink xmlns:r="http://schemas.openxmlformats.org/officeDocument/2006/relationships" ref="D64" r:id="rId185"/>
    <hyperlink xmlns:r="http://schemas.openxmlformats.org/officeDocument/2006/relationships" ref="F64" r:id="rId186"/>
    <hyperlink xmlns:r="http://schemas.openxmlformats.org/officeDocument/2006/relationships" ref="C65" r:id="rId187"/>
    <hyperlink xmlns:r="http://schemas.openxmlformats.org/officeDocument/2006/relationships" ref="D65" r:id="rId188"/>
    <hyperlink xmlns:r="http://schemas.openxmlformats.org/officeDocument/2006/relationships" ref="F65" r:id="rId189"/>
    <hyperlink xmlns:r="http://schemas.openxmlformats.org/officeDocument/2006/relationships" ref="C66" r:id="rId190"/>
    <hyperlink xmlns:r="http://schemas.openxmlformats.org/officeDocument/2006/relationships" ref="D66" r:id="rId191"/>
    <hyperlink xmlns:r="http://schemas.openxmlformats.org/officeDocument/2006/relationships" ref="F66" r:id="rId192"/>
    <hyperlink xmlns:r="http://schemas.openxmlformats.org/officeDocument/2006/relationships" ref="G66" r:id="rId193"/>
    <hyperlink xmlns:r="http://schemas.openxmlformats.org/officeDocument/2006/relationships" ref="C68" r:id="rId194"/>
    <hyperlink xmlns:r="http://schemas.openxmlformats.org/officeDocument/2006/relationships" ref="D68" r:id="rId195"/>
    <hyperlink xmlns:r="http://schemas.openxmlformats.org/officeDocument/2006/relationships" ref="F68" r:id="rId196"/>
    <hyperlink xmlns:r="http://schemas.openxmlformats.org/officeDocument/2006/relationships" ref="C69" r:id="rId197"/>
    <hyperlink xmlns:r="http://schemas.openxmlformats.org/officeDocument/2006/relationships" ref="D69" r:id="rId198"/>
    <hyperlink xmlns:r="http://schemas.openxmlformats.org/officeDocument/2006/relationships" ref="F69" r:id="rId199"/>
    <hyperlink xmlns:r="http://schemas.openxmlformats.org/officeDocument/2006/relationships" ref="G69" r:id="rId200"/>
    <hyperlink xmlns:r="http://schemas.openxmlformats.org/officeDocument/2006/relationships" ref="C70" r:id="rId201"/>
    <hyperlink xmlns:r="http://schemas.openxmlformats.org/officeDocument/2006/relationships" ref="D70" r:id="rId202"/>
    <hyperlink xmlns:r="http://schemas.openxmlformats.org/officeDocument/2006/relationships" ref="F70" r:id="rId203"/>
    <hyperlink xmlns:r="http://schemas.openxmlformats.org/officeDocument/2006/relationships" ref="G70" r:id="rId204"/>
    <hyperlink xmlns:r="http://schemas.openxmlformats.org/officeDocument/2006/relationships" ref="C73" r:id="rId205"/>
    <hyperlink xmlns:r="http://schemas.openxmlformats.org/officeDocument/2006/relationships" ref="D73" r:id="rId206"/>
    <hyperlink xmlns:r="http://schemas.openxmlformats.org/officeDocument/2006/relationships" ref="F73" r:id="rId207"/>
    <hyperlink xmlns:r="http://schemas.openxmlformats.org/officeDocument/2006/relationships" ref="G73" r:id="rId208"/>
    <hyperlink xmlns:r="http://schemas.openxmlformats.org/officeDocument/2006/relationships" ref="C74" r:id="rId209"/>
    <hyperlink xmlns:r="http://schemas.openxmlformats.org/officeDocument/2006/relationships" ref="D74" r:id="rId210"/>
    <hyperlink xmlns:r="http://schemas.openxmlformats.org/officeDocument/2006/relationships" ref="F74" r:id="rId211"/>
    <hyperlink xmlns:r="http://schemas.openxmlformats.org/officeDocument/2006/relationships" ref="C75" r:id="rId212"/>
    <hyperlink xmlns:r="http://schemas.openxmlformats.org/officeDocument/2006/relationships" ref="D75" r:id="rId213"/>
    <hyperlink xmlns:r="http://schemas.openxmlformats.org/officeDocument/2006/relationships" ref="F75" r:id="rId214"/>
    <hyperlink xmlns:r="http://schemas.openxmlformats.org/officeDocument/2006/relationships" ref="G75" r:id="rId215"/>
    <hyperlink xmlns:r="http://schemas.openxmlformats.org/officeDocument/2006/relationships" ref="C76" r:id="rId216"/>
    <hyperlink xmlns:r="http://schemas.openxmlformats.org/officeDocument/2006/relationships" ref="D76" r:id="rId217"/>
    <hyperlink xmlns:r="http://schemas.openxmlformats.org/officeDocument/2006/relationships" ref="F76" r:id="rId218"/>
    <hyperlink xmlns:r="http://schemas.openxmlformats.org/officeDocument/2006/relationships" ref="C77" r:id="rId219"/>
    <hyperlink xmlns:r="http://schemas.openxmlformats.org/officeDocument/2006/relationships" ref="D77" r:id="rId220"/>
    <hyperlink xmlns:r="http://schemas.openxmlformats.org/officeDocument/2006/relationships" ref="F77" r:id="rId221"/>
    <hyperlink xmlns:r="http://schemas.openxmlformats.org/officeDocument/2006/relationships" ref="G77" r:id="rId222"/>
    <hyperlink xmlns:r="http://schemas.openxmlformats.org/officeDocument/2006/relationships" ref="C78" r:id="rId223"/>
    <hyperlink xmlns:r="http://schemas.openxmlformats.org/officeDocument/2006/relationships" ref="D78" r:id="rId224"/>
    <hyperlink xmlns:r="http://schemas.openxmlformats.org/officeDocument/2006/relationships" ref="F78" r:id="rId225"/>
    <hyperlink xmlns:r="http://schemas.openxmlformats.org/officeDocument/2006/relationships" ref="G78" r:id="rId226"/>
    <hyperlink xmlns:r="http://schemas.openxmlformats.org/officeDocument/2006/relationships" ref="C79" r:id="rId227"/>
    <hyperlink xmlns:r="http://schemas.openxmlformats.org/officeDocument/2006/relationships" ref="D79" r:id="rId228"/>
    <hyperlink xmlns:r="http://schemas.openxmlformats.org/officeDocument/2006/relationships" ref="F79" r:id="rId229"/>
    <hyperlink xmlns:r="http://schemas.openxmlformats.org/officeDocument/2006/relationships" ref="G79" r:id="rId230"/>
    <hyperlink xmlns:r="http://schemas.openxmlformats.org/officeDocument/2006/relationships" ref="C81" r:id="rId231"/>
    <hyperlink xmlns:r="http://schemas.openxmlformats.org/officeDocument/2006/relationships" ref="D81" r:id="rId232"/>
    <hyperlink xmlns:r="http://schemas.openxmlformats.org/officeDocument/2006/relationships" ref="G81" r:id="rId233"/>
    <hyperlink xmlns:r="http://schemas.openxmlformats.org/officeDocument/2006/relationships" ref="C82" r:id="rId234"/>
    <hyperlink xmlns:r="http://schemas.openxmlformats.org/officeDocument/2006/relationships" ref="D82" r:id="rId235"/>
    <hyperlink xmlns:r="http://schemas.openxmlformats.org/officeDocument/2006/relationships" ref="F82" r:id="rId236"/>
    <hyperlink xmlns:r="http://schemas.openxmlformats.org/officeDocument/2006/relationships" ref="G82" r:id="rId237"/>
    <hyperlink xmlns:r="http://schemas.openxmlformats.org/officeDocument/2006/relationships" ref="C83" r:id="rId238"/>
    <hyperlink xmlns:r="http://schemas.openxmlformats.org/officeDocument/2006/relationships" ref="D83" r:id="rId239"/>
    <hyperlink xmlns:r="http://schemas.openxmlformats.org/officeDocument/2006/relationships" ref="F83" r:id="rId240"/>
    <hyperlink xmlns:r="http://schemas.openxmlformats.org/officeDocument/2006/relationships" ref="G83" r:id="rId241"/>
    <hyperlink xmlns:r="http://schemas.openxmlformats.org/officeDocument/2006/relationships" ref="C84" r:id="rId242"/>
    <hyperlink xmlns:r="http://schemas.openxmlformats.org/officeDocument/2006/relationships" ref="D84" r:id="rId243"/>
    <hyperlink xmlns:r="http://schemas.openxmlformats.org/officeDocument/2006/relationships" ref="G84" r:id="rId244"/>
    <hyperlink xmlns:r="http://schemas.openxmlformats.org/officeDocument/2006/relationships" ref="C85" r:id="rId245"/>
    <hyperlink xmlns:r="http://schemas.openxmlformats.org/officeDocument/2006/relationships" ref="D85" r:id="rId246"/>
    <hyperlink xmlns:r="http://schemas.openxmlformats.org/officeDocument/2006/relationships" ref="F85" r:id="rId247"/>
    <hyperlink xmlns:r="http://schemas.openxmlformats.org/officeDocument/2006/relationships" ref="C87" r:id="rId248"/>
    <hyperlink xmlns:r="http://schemas.openxmlformats.org/officeDocument/2006/relationships" ref="D87" r:id="rId249"/>
    <hyperlink xmlns:r="http://schemas.openxmlformats.org/officeDocument/2006/relationships" ref="F87" r:id="rId250"/>
    <hyperlink xmlns:r="http://schemas.openxmlformats.org/officeDocument/2006/relationships" ref="G87" r:id="rId251"/>
    <hyperlink xmlns:r="http://schemas.openxmlformats.org/officeDocument/2006/relationships" ref="C88" r:id="rId252"/>
    <hyperlink xmlns:r="http://schemas.openxmlformats.org/officeDocument/2006/relationships" ref="D88" r:id="rId253"/>
    <hyperlink xmlns:r="http://schemas.openxmlformats.org/officeDocument/2006/relationships" ref="F88" r:id="rId254"/>
    <hyperlink xmlns:r="http://schemas.openxmlformats.org/officeDocument/2006/relationships" ref="C89" r:id="rId255"/>
    <hyperlink xmlns:r="http://schemas.openxmlformats.org/officeDocument/2006/relationships" ref="D89" r:id="rId256"/>
    <hyperlink xmlns:r="http://schemas.openxmlformats.org/officeDocument/2006/relationships" ref="F89" r:id="rId257"/>
    <hyperlink xmlns:r="http://schemas.openxmlformats.org/officeDocument/2006/relationships" ref="G89" r:id="rId258"/>
    <hyperlink xmlns:r="http://schemas.openxmlformats.org/officeDocument/2006/relationships" ref="C90" r:id="rId259"/>
    <hyperlink xmlns:r="http://schemas.openxmlformats.org/officeDocument/2006/relationships" ref="D90" r:id="rId260"/>
    <hyperlink xmlns:r="http://schemas.openxmlformats.org/officeDocument/2006/relationships" ref="G90" r:id="rId261"/>
    <hyperlink xmlns:r="http://schemas.openxmlformats.org/officeDocument/2006/relationships" ref="C91" r:id="rId262"/>
    <hyperlink xmlns:r="http://schemas.openxmlformats.org/officeDocument/2006/relationships" ref="D91" r:id="rId263"/>
    <hyperlink xmlns:r="http://schemas.openxmlformats.org/officeDocument/2006/relationships" ref="F91" r:id="rId264"/>
    <hyperlink xmlns:r="http://schemas.openxmlformats.org/officeDocument/2006/relationships" ref="G91" r:id="rId265"/>
    <hyperlink xmlns:r="http://schemas.openxmlformats.org/officeDocument/2006/relationships" ref="C92" r:id="rId266"/>
    <hyperlink xmlns:r="http://schemas.openxmlformats.org/officeDocument/2006/relationships" ref="D92" r:id="rId267"/>
    <hyperlink xmlns:r="http://schemas.openxmlformats.org/officeDocument/2006/relationships" ref="F92" r:id="rId268"/>
    <hyperlink xmlns:r="http://schemas.openxmlformats.org/officeDocument/2006/relationships" ref="G92" r:id="rId269"/>
    <hyperlink xmlns:r="http://schemas.openxmlformats.org/officeDocument/2006/relationships" ref="C93" r:id="rId270"/>
    <hyperlink xmlns:r="http://schemas.openxmlformats.org/officeDocument/2006/relationships" ref="D93" r:id="rId271"/>
    <hyperlink xmlns:r="http://schemas.openxmlformats.org/officeDocument/2006/relationships" ref="F93" r:id="rId272"/>
    <hyperlink xmlns:r="http://schemas.openxmlformats.org/officeDocument/2006/relationships" ref="C94" r:id="rId273"/>
    <hyperlink xmlns:r="http://schemas.openxmlformats.org/officeDocument/2006/relationships" ref="C95" r:id="rId274"/>
    <hyperlink xmlns:r="http://schemas.openxmlformats.org/officeDocument/2006/relationships" ref="D95" r:id="rId275"/>
    <hyperlink xmlns:r="http://schemas.openxmlformats.org/officeDocument/2006/relationships" ref="F95" r:id="rId276"/>
    <hyperlink xmlns:r="http://schemas.openxmlformats.org/officeDocument/2006/relationships" ref="G95" r:id="rId277"/>
    <hyperlink xmlns:r="http://schemas.openxmlformats.org/officeDocument/2006/relationships" ref="C96" r:id="rId278"/>
    <hyperlink xmlns:r="http://schemas.openxmlformats.org/officeDocument/2006/relationships" ref="D96" r:id="rId279"/>
    <hyperlink xmlns:r="http://schemas.openxmlformats.org/officeDocument/2006/relationships" ref="F96" r:id="rId280"/>
    <hyperlink xmlns:r="http://schemas.openxmlformats.org/officeDocument/2006/relationships" ref="G96" r:id="rId281"/>
    <hyperlink xmlns:r="http://schemas.openxmlformats.org/officeDocument/2006/relationships" ref="C97" r:id="rId282"/>
    <hyperlink xmlns:r="http://schemas.openxmlformats.org/officeDocument/2006/relationships" ref="D97" r:id="rId283"/>
    <hyperlink xmlns:r="http://schemas.openxmlformats.org/officeDocument/2006/relationships" ref="G97" r:id="rId284"/>
    <hyperlink xmlns:r="http://schemas.openxmlformats.org/officeDocument/2006/relationships" ref="C98" r:id="rId285"/>
    <hyperlink xmlns:r="http://schemas.openxmlformats.org/officeDocument/2006/relationships" ref="D98" r:id="rId286"/>
    <hyperlink xmlns:r="http://schemas.openxmlformats.org/officeDocument/2006/relationships" ref="F98" r:id="rId287"/>
    <hyperlink xmlns:r="http://schemas.openxmlformats.org/officeDocument/2006/relationships" ref="G98" r:id="rId288"/>
    <hyperlink xmlns:r="http://schemas.openxmlformats.org/officeDocument/2006/relationships" ref="C100" r:id="rId289"/>
    <hyperlink xmlns:r="http://schemas.openxmlformats.org/officeDocument/2006/relationships" ref="D100" r:id="rId290"/>
    <hyperlink xmlns:r="http://schemas.openxmlformats.org/officeDocument/2006/relationships" ref="F100" r:id="rId291"/>
    <hyperlink xmlns:r="http://schemas.openxmlformats.org/officeDocument/2006/relationships" ref="G100" r:id="rId292"/>
    <hyperlink xmlns:r="http://schemas.openxmlformats.org/officeDocument/2006/relationships" ref="C101" r:id="rId293"/>
    <hyperlink xmlns:r="http://schemas.openxmlformats.org/officeDocument/2006/relationships" ref="D101" r:id="rId294"/>
    <hyperlink xmlns:r="http://schemas.openxmlformats.org/officeDocument/2006/relationships" ref="G101" r:id="rId295"/>
    <hyperlink xmlns:r="http://schemas.openxmlformats.org/officeDocument/2006/relationships" ref="C102" r:id="rId296"/>
    <hyperlink xmlns:r="http://schemas.openxmlformats.org/officeDocument/2006/relationships" ref="D102" r:id="rId297"/>
    <hyperlink xmlns:r="http://schemas.openxmlformats.org/officeDocument/2006/relationships" ref="F102" r:id="rId298"/>
    <hyperlink xmlns:r="http://schemas.openxmlformats.org/officeDocument/2006/relationships" ref="G102" r:id="rId299"/>
    <hyperlink xmlns:r="http://schemas.openxmlformats.org/officeDocument/2006/relationships" ref="C104" r:id="rId300"/>
    <hyperlink xmlns:r="http://schemas.openxmlformats.org/officeDocument/2006/relationships" ref="D104" r:id="rId301"/>
    <hyperlink xmlns:r="http://schemas.openxmlformats.org/officeDocument/2006/relationships" ref="F104" r:id="rId302"/>
    <hyperlink xmlns:r="http://schemas.openxmlformats.org/officeDocument/2006/relationships" ref="G104" r:id="rId303"/>
    <hyperlink xmlns:r="http://schemas.openxmlformats.org/officeDocument/2006/relationships" ref="C105" r:id="rId304"/>
    <hyperlink xmlns:r="http://schemas.openxmlformats.org/officeDocument/2006/relationships" ref="D105" r:id="rId305"/>
    <hyperlink xmlns:r="http://schemas.openxmlformats.org/officeDocument/2006/relationships" ref="F105" r:id="rId306"/>
    <hyperlink xmlns:r="http://schemas.openxmlformats.org/officeDocument/2006/relationships" ref="G105" r:id="rId307"/>
    <hyperlink xmlns:r="http://schemas.openxmlformats.org/officeDocument/2006/relationships" ref="C106" r:id="rId308"/>
    <hyperlink xmlns:r="http://schemas.openxmlformats.org/officeDocument/2006/relationships" ref="D106" r:id="rId309"/>
    <hyperlink xmlns:r="http://schemas.openxmlformats.org/officeDocument/2006/relationships" ref="F106" r:id="rId310"/>
    <hyperlink xmlns:r="http://schemas.openxmlformats.org/officeDocument/2006/relationships" ref="C107" r:id="rId311"/>
    <hyperlink xmlns:r="http://schemas.openxmlformats.org/officeDocument/2006/relationships" ref="D107" r:id="rId312"/>
    <hyperlink xmlns:r="http://schemas.openxmlformats.org/officeDocument/2006/relationships" ref="F107" r:id="rId313"/>
    <hyperlink xmlns:r="http://schemas.openxmlformats.org/officeDocument/2006/relationships" ref="G107" r:id="rId314"/>
    <hyperlink xmlns:r="http://schemas.openxmlformats.org/officeDocument/2006/relationships" ref="C108" r:id="rId315"/>
    <hyperlink xmlns:r="http://schemas.openxmlformats.org/officeDocument/2006/relationships" ref="D108" r:id="rId316"/>
    <hyperlink xmlns:r="http://schemas.openxmlformats.org/officeDocument/2006/relationships" ref="G108" r:id="rId317"/>
    <hyperlink xmlns:r="http://schemas.openxmlformats.org/officeDocument/2006/relationships" ref="C109" r:id="rId318"/>
    <hyperlink xmlns:r="http://schemas.openxmlformats.org/officeDocument/2006/relationships" ref="D109" r:id="rId319"/>
    <hyperlink xmlns:r="http://schemas.openxmlformats.org/officeDocument/2006/relationships" ref="F109" r:id="rId320"/>
    <hyperlink xmlns:r="http://schemas.openxmlformats.org/officeDocument/2006/relationships" ref="G109" r:id="rId321"/>
    <hyperlink xmlns:r="http://schemas.openxmlformats.org/officeDocument/2006/relationships" ref="C110" r:id="rId322"/>
    <hyperlink xmlns:r="http://schemas.openxmlformats.org/officeDocument/2006/relationships" ref="D110" r:id="rId323"/>
    <hyperlink xmlns:r="http://schemas.openxmlformats.org/officeDocument/2006/relationships" ref="G110" r:id="rId324"/>
    <hyperlink xmlns:r="http://schemas.openxmlformats.org/officeDocument/2006/relationships" ref="C111" r:id="rId325"/>
    <hyperlink xmlns:r="http://schemas.openxmlformats.org/officeDocument/2006/relationships" ref="D111" r:id="rId326"/>
    <hyperlink xmlns:r="http://schemas.openxmlformats.org/officeDocument/2006/relationships" ref="C112" r:id="rId327"/>
    <hyperlink xmlns:r="http://schemas.openxmlformats.org/officeDocument/2006/relationships" ref="D112" r:id="rId328"/>
    <hyperlink xmlns:r="http://schemas.openxmlformats.org/officeDocument/2006/relationships" ref="G112" r:id="rId329"/>
    <hyperlink xmlns:r="http://schemas.openxmlformats.org/officeDocument/2006/relationships" ref="C113" r:id="rId330"/>
    <hyperlink xmlns:r="http://schemas.openxmlformats.org/officeDocument/2006/relationships" ref="D113" r:id="rId331"/>
    <hyperlink xmlns:r="http://schemas.openxmlformats.org/officeDocument/2006/relationships" ref="F113" r:id="rId332"/>
    <hyperlink xmlns:r="http://schemas.openxmlformats.org/officeDocument/2006/relationships" ref="G113" r:id="rId333"/>
    <hyperlink xmlns:r="http://schemas.openxmlformats.org/officeDocument/2006/relationships" ref="C115" r:id="rId334"/>
    <hyperlink xmlns:r="http://schemas.openxmlformats.org/officeDocument/2006/relationships" ref="D115" r:id="rId335"/>
    <hyperlink xmlns:r="http://schemas.openxmlformats.org/officeDocument/2006/relationships" ref="F115" r:id="rId336"/>
    <hyperlink xmlns:r="http://schemas.openxmlformats.org/officeDocument/2006/relationships" ref="G115" r:id="rId337"/>
    <hyperlink xmlns:r="http://schemas.openxmlformats.org/officeDocument/2006/relationships" ref="C117" r:id="rId338"/>
    <hyperlink xmlns:r="http://schemas.openxmlformats.org/officeDocument/2006/relationships" ref="D117" r:id="rId339"/>
    <hyperlink xmlns:r="http://schemas.openxmlformats.org/officeDocument/2006/relationships" ref="F117" r:id="rId340"/>
    <hyperlink xmlns:r="http://schemas.openxmlformats.org/officeDocument/2006/relationships" ref="G117" r:id="rId341"/>
    <hyperlink xmlns:r="http://schemas.openxmlformats.org/officeDocument/2006/relationships" ref="C118" r:id="rId342"/>
    <hyperlink xmlns:r="http://schemas.openxmlformats.org/officeDocument/2006/relationships" ref="F118" r:id="rId343"/>
    <hyperlink xmlns:r="http://schemas.openxmlformats.org/officeDocument/2006/relationships" ref="C120" r:id="rId344"/>
    <hyperlink xmlns:r="http://schemas.openxmlformats.org/officeDocument/2006/relationships" ref="D120" r:id="rId345"/>
    <hyperlink xmlns:r="http://schemas.openxmlformats.org/officeDocument/2006/relationships" ref="F120" r:id="rId346"/>
    <hyperlink xmlns:r="http://schemas.openxmlformats.org/officeDocument/2006/relationships" ref="G120" r:id="rId347"/>
    <hyperlink xmlns:r="http://schemas.openxmlformats.org/officeDocument/2006/relationships" ref="C121" r:id="rId348"/>
    <hyperlink xmlns:r="http://schemas.openxmlformats.org/officeDocument/2006/relationships" ref="D121" r:id="rId349"/>
    <hyperlink xmlns:r="http://schemas.openxmlformats.org/officeDocument/2006/relationships" ref="F121" r:id="rId350"/>
    <hyperlink xmlns:r="http://schemas.openxmlformats.org/officeDocument/2006/relationships" ref="G121" r:id="rId351"/>
    <hyperlink xmlns:r="http://schemas.openxmlformats.org/officeDocument/2006/relationships" ref="C122" r:id="rId352"/>
    <hyperlink xmlns:r="http://schemas.openxmlformats.org/officeDocument/2006/relationships" ref="D122" r:id="rId353"/>
    <hyperlink xmlns:r="http://schemas.openxmlformats.org/officeDocument/2006/relationships" ref="F122" r:id="rId354"/>
    <hyperlink xmlns:r="http://schemas.openxmlformats.org/officeDocument/2006/relationships" ref="G122" r:id="rId355"/>
  </hyperlinks>
  <pageMargins left="0.75" right="0.75" top="1" bottom="1" header="0.5" footer="0.5"/>
</worksheet>
</file>

<file path=xl/worksheets/sheet3.xml><?xml version="1.0" encoding="utf-8"?>
<worksheet xmlns="http://schemas.openxmlformats.org/spreadsheetml/2006/main">
  <sheetPr>
    <outlinePr summaryBelow="0" summaryRight="0"/>
    <pageSetUpPr/>
  </sheetPr>
  <dimension ref="A1:D104"/>
  <sheetViews>
    <sheetView workbookViewId="0">
      <selection activeCell="A1" sqref="A1"/>
    </sheetView>
  </sheetViews>
  <sheetFormatPr baseColWidth="8" defaultColWidth="12.63" defaultRowHeight="15.75" customHeight="1"/>
  <cols>
    <col width="18.63" customWidth="1" style="41" min="2" max="2"/>
    <col width="16.5" customWidth="1" style="41" min="3" max="3"/>
    <col width="8.630000000000001" customWidth="1" style="41" min="4" max="4"/>
  </cols>
  <sheetData>
    <row r="1">
      <c r="A1" s="23" t="n"/>
      <c r="B1" s="23" t="n"/>
      <c r="C1" s="23" t="n"/>
      <c r="D1" s="23" t="n"/>
    </row>
    <row r="2">
      <c r="A2" s="23" t="inlineStr">
        <is>
          <t>Memely Thematic Ranking (week 3 of 2026)</t>
        </is>
      </c>
      <c r="B2" s="23" t="n"/>
      <c r="C2" s="23" t="n"/>
      <c r="D2" s="23" t="n"/>
    </row>
    <row r="3">
      <c r="B3" s="23" t="inlineStr">
        <is>
          <t>first call X kol</t>
        </is>
      </c>
      <c r="C3" s="23" t="inlineStr">
        <is>
          <t>top contributor</t>
        </is>
      </c>
      <c r="D3" s="23" t="inlineStr">
        <is>
          <t>performance</t>
        </is>
      </c>
    </row>
    <row r="4">
      <c r="A4" s="23" t="inlineStr">
        <is>
          <t>FIGR</t>
        </is>
      </c>
      <c r="B4" s="4" t="inlineStr">
        <is>
          <t>@Venu_7_</t>
        </is>
      </c>
      <c r="C4" s="4" t="inlineStr">
        <is>
          <t>@matthew_sigel</t>
        </is>
      </c>
      <c r="D4" s="26" t="n">
        <v>0.415087114685047</v>
      </c>
    </row>
    <row r="5">
      <c r="A5" s="23" t="inlineStr">
        <is>
          <t>GLXY</t>
        </is>
      </c>
      <c r="B5" s="4" t="inlineStr">
        <is>
          <t>@FloodCapital</t>
        </is>
      </c>
      <c r="C5" s="4" t="inlineStr">
        <is>
          <t>@FloodCapital</t>
        </is>
      </c>
      <c r="D5" s="26" t="n">
        <v>0.3460180462926639</v>
      </c>
    </row>
    <row r="6">
      <c r="A6" s="23" t="inlineStr">
        <is>
          <t>UMAC</t>
        </is>
      </c>
      <c r="B6" s="4" t="inlineStr">
        <is>
          <t>@thehustlebrosyt</t>
        </is>
      </c>
      <c r="C6" s="4" t="inlineStr">
        <is>
          <t>@fundmyfund</t>
        </is>
      </c>
      <c r="D6" s="26" t="n">
        <v>0.2557666214382632</v>
      </c>
    </row>
    <row r="7">
      <c r="A7" s="23" t="inlineStr">
        <is>
          <t>CRML</t>
        </is>
      </c>
      <c r="B7" s="4" t="inlineStr">
        <is>
          <t>@invest4_life</t>
        </is>
      </c>
      <c r="C7" s="4" t="inlineStr">
        <is>
          <t>@Speculator_io</t>
        </is>
      </c>
      <c r="D7" s="26" t="n">
        <v>0.1957994579945799</v>
      </c>
    </row>
    <row r="8">
      <c r="A8" s="23" t="inlineStr">
        <is>
          <t>ASTS</t>
        </is>
      </c>
      <c r="B8" s="4" t="inlineStr">
        <is>
          <t>@KevinLMak</t>
        </is>
      </c>
      <c r="C8" s="4" t="inlineStr">
        <is>
          <t>@ASTS_SpaceMob</t>
        </is>
      </c>
      <c r="D8" s="26" t="n">
        <v>0.1766439678829148</v>
      </c>
    </row>
    <row r="9">
      <c r="A9" s="23" t="inlineStr">
        <is>
          <t>CEPT</t>
        </is>
      </c>
      <c r="B9" s="4" t="inlineStr">
        <is>
          <t>@SPACuity</t>
        </is>
      </c>
      <c r="C9" s="4" t="inlineStr">
        <is>
          <t>@SPACLiquidity</t>
        </is>
      </c>
      <c r="D9" s="26" t="n">
        <v>0.1762557077625573</v>
      </c>
    </row>
    <row r="10">
      <c r="A10" s="23" t="inlineStr">
        <is>
          <t>POET</t>
        </is>
      </c>
      <c r="B10" s="4" t="inlineStr">
        <is>
          <t>@PennyboisTrades</t>
        </is>
      </c>
      <c r="C10" s="4" t="inlineStr">
        <is>
          <t>@crux_capital_</t>
        </is>
      </c>
      <c r="D10" s="26" t="n">
        <v>0.1511789181692096</v>
      </c>
    </row>
    <row r="11">
      <c r="A11" s="23" t="inlineStr">
        <is>
          <t>RCAT</t>
        </is>
      </c>
      <c r="B11" s="4" t="inlineStr">
        <is>
          <t>@itech_analyst</t>
        </is>
      </c>
      <c r="C11" s="4" t="inlineStr">
        <is>
          <t>@TheValueist</t>
        </is>
      </c>
      <c r="D11" s="26" t="n">
        <v>0.1448911222780569</v>
      </c>
    </row>
    <row r="12">
      <c r="A12" s="23" t="inlineStr">
        <is>
          <t>TE</t>
        </is>
      </c>
      <c r="B12" s="4" t="inlineStr">
        <is>
          <t>@Chartradamus/status</t>
        </is>
      </c>
      <c r="C12" s="4" t="inlineStr">
        <is>
          <t>@SJCapitalInvest</t>
        </is>
      </c>
      <c r="D12" s="26" t="n">
        <v>0.1331484049930651</v>
      </c>
    </row>
    <row r="13">
      <c r="A13" s="23" t="inlineStr">
        <is>
          <t>PL</t>
        </is>
      </c>
      <c r="B13" s="4" t="inlineStr">
        <is>
          <t>@bdinvestingg</t>
        </is>
      </c>
      <c r="C13" s="4" t="inlineStr">
        <is>
          <t>@AIStockSavvy</t>
        </is>
      </c>
      <c r="D13" s="26" t="n">
        <v>0.1312893081761006</v>
      </c>
    </row>
    <row r="15">
      <c r="A15" s="23" t="inlineStr">
        <is>
          <t>Memely Thematic Ranking (week 4 of 2026)</t>
        </is>
      </c>
      <c r="B15" s="23" t="n"/>
      <c r="C15" s="23" t="n"/>
      <c r="D15" s="23" t="n"/>
    </row>
    <row r="16">
      <c r="B16" s="23" t="inlineStr">
        <is>
          <t>first call X kol</t>
        </is>
      </c>
      <c r="C16" s="23" t="inlineStr">
        <is>
          <t>top contributor</t>
        </is>
      </c>
      <c r="D16" s="23" t="inlineStr">
        <is>
          <t>performance</t>
        </is>
      </c>
    </row>
    <row r="17">
      <c r="A17" s="23" t="inlineStr">
        <is>
          <t>ASTI</t>
        </is>
      </c>
      <c r="B17" s="4" t="inlineStr">
        <is>
          <t>@YeahDrDavef</t>
        </is>
      </c>
      <c r="C17" s="4" t="inlineStr">
        <is>
          <t>@Reformed_Trader</t>
        </is>
      </c>
      <c r="D17" s="26" t="n">
        <v>0.6266666666666667</v>
      </c>
    </row>
    <row r="18">
      <c r="A18" s="23" t="inlineStr">
        <is>
          <t>TMC</t>
        </is>
      </c>
      <c r="B18" s="4" t="inlineStr">
        <is>
          <t>@Deadbrokeinvest</t>
        </is>
      </c>
      <c r="C18" s="4" t="inlineStr">
        <is>
          <t>@Deadbrokeinvest</t>
        </is>
      </c>
      <c r="D18" s="26" t="n">
        <v>0.3092926490984742</v>
      </c>
    </row>
    <row r="19">
      <c r="A19" s="23" t="inlineStr">
        <is>
          <t>AREC</t>
        </is>
      </c>
      <c r="B19" s="4" t="inlineStr">
        <is>
          <t>@probzunknown</t>
        </is>
      </c>
      <c r="C19" s="4" t="inlineStr">
        <is>
          <t>@probzunknown</t>
        </is>
      </c>
      <c r="D19" s="26" t="n">
        <v>0.2485714285714287</v>
      </c>
    </row>
    <row r="20">
      <c r="A20" s="23" t="inlineStr">
        <is>
          <t>CRML</t>
        </is>
      </c>
      <c r="B20" s="4" t="inlineStr">
        <is>
          <t>@invest4_life</t>
        </is>
      </c>
      <c r="C20" s="4" t="inlineStr">
        <is>
          <t>@Speculator_io</t>
        </is>
      </c>
      <c r="D20" s="26" t="n">
        <v>0.2009318578916715</v>
      </c>
    </row>
    <row r="21">
      <c r="A21" s="23" t="inlineStr">
        <is>
          <t>LMND</t>
        </is>
      </c>
      <c r="B21" s="4" t="inlineStr">
        <is>
          <t>@thexcapitalist</t>
        </is>
      </c>
      <c r="C21" s="4" t="inlineStr">
        <is>
          <t>@szaman</t>
        </is>
      </c>
      <c r="D21" s="26" t="n">
        <v>0.1918456032719837</v>
      </c>
    </row>
    <row r="22">
      <c r="A22" s="23" t="inlineStr">
        <is>
          <t>RDW</t>
        </is>
      </c>
      <c r="B22" s="4" t="inlineStr">
        <is>
          <t>@SpaceInvestor_D</t>
        </is>
      </c>
      <c r="C22" s="4" t="inlineStr">
        <is>
          <t>@SpaceInvestor_D</t>
        </is>
      </c>
      <c r="D22" s="26" t="n">
        <v>0.1744840525328331</v>
      </c>
    </row>
    <row r="23">
      <c r="A23" s="23" t="inlineStr">
        <is>
          <t>NB</t>
        </is>
      </c>
      <c r="B23" s="4" t="inlineStr">
        <is>
          <t>@thenewmoney_tnm</t>
        </is>
      </c>
      <c r="C23" s="4" t="inlineStr">
        <is>
          <t>@thenewmoney_tnm</t>
        </is>
      </c>
      <c r="D23" s="26" t="n">
        <v>0.1737804878048781</v>
      </c>
    </row>
    <row r="24">
      <c r="A24" s="23" t="inlineStr">
        <is>
          <t>UAMY</t>
        </is>
      </c>
      <c r="B24" s="4" t="inlineStr">
        <is>
          <t>@USAC_Bull</t>
        </is>
      </c>
      <c r="C24" s="4" t="inlineStr">
        <is>
          <t>@USAC_Bull</t>
        </is>
      </c>
      <c r="D24" s="26" t="n">
        <v>0.1704422869471414</v>
      </c>
    </row>
    <row r="25">
      <c r="A25" s="23" t="inlineStr">
        <is>
          <t>IRDM</t>
        </is>
      </c>
      <c r="B25" s="4" t="inlineStr">
        <is>
          <t>@BlackScholesMan</t>
        </is>
      </c>
      <c r="C25" s="4" t="inlineStr">
        <is>
          <t>@pennycheck</t>
        </is>
      </c>
      <c r="D25" s="26" t="n">
        <v>0.1397905759162303</v>
      </c>
    </row>
    <row r="26">
      <c r="A26" s="23" t="inlineStr">
        <is>
          <t>VOYG</t>
        </is>
      </c>
      <c r="B26" s="4" t="inlineStr">
        <is>
          <t>@SigmaFemale1818</t>
        </is>
      </c>
      <c r="C26" s="4" t="inlineStr">
        <is>
          <t>@SigmaFemale1818</t>
        </is>
      </c>
      <c r="D26" s="26" t="n">
        <v>0.1283845451779739</v>
      </c>
    </row>
    <row r="28">
      <c r="A28" s="23" t="inlineStr">
        <is>
          <t>Memely Thematic Ranking (week 5 of 2026)</t>
        </is>
      </c>
      <c r="B28" s="23" t="n"/>
      <c r="C28" s="23" t="n"/>
      <c r="D28" s="23" t="n"/>
    </row>
    <row r="29">
      <c r="A29" s="37" t="n"/>
      <c r="B29" s="37" t="inlineStr">
        <is>
          <t>first call X kol</t>
        </is>
      </c>
      <c r="C29" s="37" t="inlineStr">
        <is>
          <t>top contributor</t>
        </is>
      </c>
      <c r="D29" s="37" t="inlineStr">
        <is>
          <t>performance</t>
        </is>
      </c>
    </row>
    <row r="30">
      <c r="A30" s="37" t="inlineStr">
        <is>
          <t>AAOI</t>
        </is>
      </c>
      <c r="B30" s="4" t="inlineStr">
        <is>
          <t>@Venu_7_</t>
        </is>
      </c>
      <c r="C30" s="4" t="inlineStr">
        <is>
          <t>@crux_capital_</t>
        </is>
      </c>
      <c r="D30" s="27" t="n">
        <v>0.3247348810547435</v>
      </c>
    </row>
    <row r="31">
      <c r="A31" s="37" t="inlineStr">
        <is>
          <t>VPG</t>
        </is>
      </c>
      <c r="B31" s="4" t="inlineStr">
        <is>
          <t>@EricTheUmpire</t>
        </is>
      </c>
      <c r="C31" s="19" t="inlineStr">
        <is>
          <t>@ThematicTrader</t>
        </is>
      </c>
      <c r="D31" s="27" t="n">
        <v>0.2330616996507566</v>
      </c>
    </row>
    <row r="32">
      <c r="A32" s="37" t="inlineStr">
        <is>
          <t>ACMR</t>
        </is>
      </c>
      <c r="B32" s="4" t="inlineStr">
        <is>
          <t>@TheTechInvest</t>
        </is>
      </c>
      <c r="C32" s="19" t="inlineStr">
        <is>
          <t>@TheBenSchmark</t>
        </is>
      </c>
      <c r="D32" s="27" t="n">
        <v>0.1687854488558576</v>
      </c>
    </row>
    <row r="33">
      <c r="A33" s="37" t="inlineStr">
        <is>
          <t>SHMD</t>
        </is>
      </c>
      <c r="B33" s="20" t="inlineStr">
        <is>
          <t>@Mike10947310</t>
        </is>
      </c>
      <c r="C33" s="19" t="inlineStr">
        <is>
          <t>@Mike10947310</t>
        </is>
      </c>
      <c r="D33" s="27" t="n">
        <v>0.1580882352941175</v>
      </c>
    </row>
    <row r="34">
      <c r="A34" s="37" t="inlineStr">
        <is>
          <t>AXTI</t>
        </is>
      </c>
      <c r="B34" s="4" t="inlineStr">
        <is>
          <t>@YieldCurveBalI</t>
        </is>
      </c>
      <c r="C34" s="37" t="inlineStr">
        <is>
          <t>@aleabitoreddit</t>
        </is>
      </c>
      <c r="D34" s="27" t="n">
        <v>0.1550561797752807</v>
      </c>
    </row>
    <row r="35">
      <c r="A35" s="37" t="inlineStr">
        <is>
          <t>AMPX</t>
        </is>
      </c>
      <c r="B35" s="20" t="inlineStr">
        <is>
          <t>@DekmarTrades</t>
        </is>
      </c>
      <c r="C35" s="37" t="inlineStr">
        <is>
          <t>@pennycheck</t>
        </is>
      </c>
      <c r="D35" s="27" t="n">
        <v>0.155045871559633</v>
      </c>
    </row>
    <row r="36">
      <c r="A36" s="37" t="inlineStr">
        <is>
          <t>LASR</t>
        </is>
      </c>
      <c r="B36" s="19" t="inlineStr">
        <is>
          <t>@antarcticapital</t>
        </is>
      </c>
      <c r="C36" s="19" t="inlineStr">
        <is>
          <t>@pennycheck</t>
        </is>
      </c>
      <c r="D36" s="27" t="n">
        <v>0.101422670949977</v>
      </c>
    </row>
    <row r="37">
      <c r="A37" s="37" t="inlineStr">
        <is>
          <t>VELO</t>
        </is>
      </c>
      <c r="B37" s="4" t="inlineStr">
        <is>
          <t>@kingtutcap</t>
        </is>
      </c>
      <c r="C37" s="4" t="inlineStr">
        <is>
          <t>@kingtutcap</t>
        </is>
      </c>
      <c r="D37" s="27" t="n">
        <v>0.09168609168609176</v>
      </c>
    </row>
    <row r="38">
      <c r="A38" s="37" t="inlineStr">
        <is>
          <t>LPTH</t>
        </is>
      </c>
      <c r="B38" s="4" t="inlineStr">
        <is>
          <t>@BussinBiotech</t>
        </is>
      </c>
      <c r="C38" s="4" t="inlineStr">
        <is>
          <t>@BussinBiotech</t>
        </is>
      </c>
      <c r="D38" s="27" t="n">
        <v>0.06549364613880737</v>
      </c>
    </row>
    <row r="39">
      <c r="A39" s="37" t="inlineStr">
        <is>
          <t>OPRA</t>
        </is>
      </c>
      <c r="B39" s="4" t="inlineStr">
        <is>
          <t>@Pray4Equity</t>
        </is>
      </c>
      <c r="C39" s="4" t="inlineStr">
        <is>
          <t>@MrStockLockPro1</t>
        </is>
      </c>
      <c r="D39" s="27" t="n">
        <v>0.05737109658678285</v>
      </c>
    </row>
    <row r="41">
      <c r="A41" s="23" t="inlineStr">
        <is>
          <t>Memely Thematic Ranking (week 6 of 2026)</t>
        </is>
      </c>
      <c r="B41" s="23" t="n"/>
      <c r="C41" s="23" t="n"/>
      <c r="D41" s="23" t="n"/>
    </row>
    <row r="42">
      <c r="A42" s="37" t="n"/>
      <c r="B42" s="37" t="inlineStr">
        <is>
          <t>first call X kol</t>
        </is>
      </c>
      <c r="C42" s="37" t="inlineStr">
        <is>
          <t>top contributor</t>
        </is>
      </c>
      <c r="D42" s="37" t="inlineStr">
        <is>
          <t>performance</t>
        </is>
      </c>
    </row>
    <row r="43">
      <c r="A43" s="37" t="inlineStr">
        <is>
          <t>AXTI</t>
        </is>
      </c>
      <c r="B43" s="37" t="inlineStr">
        <is>
          <t>@YieldCurveBalI</t>
        </is>
      </c>
      <c r="C43" s="37" t="inlineStr">
        <is>
          <t>@aleabitoreddit</t>
        </is>
      </c>
      <c r="D43" s="27" t="n">
        <v>0.148997134670487</v>
      </c>
    </row>
    <row r="44">
      <c r="A44" s="37" t="inlineStr">
        <is>
          <t>VELO</t>
        </is>
      </c>
      <c r="B44" s="37" t="inlineStr">
        <is>
          <t>@kingtutcap</t>
        </is>
      </c>
      <c r="C44" s="37" t="inlineStr">
        <is>
          <t>@kingtutcap</t>
        </is>
      </c>
      <c r="D44" s="27" t="n">
        <v>0.126984126984127</v>
      </c>
    </row>
    <row r="45">
      <c r="A45" s="37" t="inlineStr">
        <is>
          <t>VPG</t>
        </is>
      </c>
      <c r="B45" s="37" t="inlineStr">
        <is>
          <t>@EricTheUmpire</t>
        </is>
      </c>
      <c r="C45" s="37" t="inlineStr">
        <is>
          <t>@ThematicTrader</t>
        </is>
      </c>
      <c r="D45" s="27" t="n">
        <v>0.1054502369668247</v>
      </c>
    </row>
    <row r="46">
      <c r="A46" s="37" t="inlineStr">
        <is>
          <t>SYM</t>
        </is>
      </c>
      <c r="B46" s="37" t="inlineStr">
        <is>
          <t>@imapedestrian</t>
        </is>
      </c>
      <c r="C46" s="37" t="inlineStr">
        <is>
          <t>@crux_capital_</t>
        </is>
      </c>
      <c r="D46" s="27" t="n">
        <v>0.1036393866617402</v>
      </c>
    </row>
    <row r="47">
      <c r="A47" s="37" t="inlineStr">
        <is>
          <t>UAMY</t>
        </is>
      </c>
      <c r="B47" s="37" t="inlineStr">
        <is>
          <t>@USAC_Bull</t>
        </is>
      </c>
      <c r="C47" s="37" t="inlineStr">
        <is>
          <t>@USAC_Bull</t>
        </is>
      </c>
      <c r="D47" s="27" t="n">
        <v>0.09541984732824416</v>
      </c>
    </row>
    <row r="48">
      <c r="A48" s="37" t="inlineStr">
        <is>
          <t>PSRHF</t>
        </is>
      </c>
      <c r="B48" s="37" t="inlineStr">
        <is>
          <t>@Minnvestor</t>
        </is>
      </c>
      <c r="C48" s="37" t="inlineStr">
        <is>
          <t>@Share_Talk</t>
        </is>
      </c>
      <c r="D48" s="27" t="n">
        <v>0.0862068965517242</v>
      </c>
    </row>
    <row r="49">
      <c r="A49" s="37" t="inlineStr">
        <is>
          <t>SMR</t>
        </is>
      </c>
      <c r="B49" s="37" t="inlineStr">
        <is>
          <t>@InvestmentGuru_</t>
        </is>
      </c>
      <c r="C49" s="37" t="inlineStr">
        <is>
          <t>@MMatters22596</t>
        </is>
      </c>
      <c r="D49" s="27" t="n">
        <v>0.06371359223300965</v>
      </c>
    </row>
    <row r="50">
      <c r="A50" s="37" t="inlineStr">
        <is>
          <t>LASR</t>
        </is>
      </c>
      <c r="B50" s="37" t="inlineStr">
        <is>
          <t>@antarcticapital</t>
        </is>
      </c>
      <c r="C50" s="37" t="inlineStr">
        <is>
          <t>@pennycheck</t>
        </is>
      </c>
      <c r="D50" s="27" t="n">
        <v>0.06322795341098164</v>
      </c>
    </row>
    <row r="51">
      <c r="A51" s="37" t="inlineStr">
        <is>
          <t>SHMD</t>
        </is>
      </c>
      <c r="B51" s="37" t="inlineStr">
        <is>
          <t>@Mike10947310</t>
        </is>
      </c>
      <c r="C51" s="37" t="inlineStr">
        <is>
          <t>@Mike10947310</t>
        </is>
      </c>
      <c r="D51" s="27" t="n">
        <v>0.05572441742654521</v>
      </c>
    </row>
    <row r="52">
      <c r="A52" s="23" t="inlineStr">
        <is>
          <t>AREC</t>
        </is>
      </c>
      <c r="B52" s="23" t="inlineStr">
        <is>
          <t>@probzunknown</t>
        </is>
      </c>
      <c r="C52" s="23" t="inlineStr">
        <is>
          <t>@probzunknown</t>
        </is>
      </c>
      <c r="D52" s="26" t="n">
        <v>0.05119453924914663</v>
      </c>
    </row>
    <row r="54">
      <c r="A54" s="23" t="inlineStr">
        <is>
          <t>Memely Thematic Ranking (week 7 of 2026)</t>
        </is>
      </c>
      <c r="B54" s="23" t="n"/>
      <c r="C54" s="23" t="n"/>
      <c r="D54" s="23" t="n"/>
    </row>
    <row r="55">
      <c r="B55" s="23" t="inlineStr">
        <is>
          <t>first call X kol</t>
        </is>
      </c>
      <c r="C55" s="23" t="inlineStr">
        <is>
          <t>top contributor</t>
        </is>
      </c>
      <c r="D55" s="23" t="inlineStr">
        <is>
          <t>performance</t>
        </is>
      </c>
    </row>
    <row r="56">
      <c r="A56" s="23" t="inlineStr">
        <is>
          <t>RIME</t>
        </is>
      </c>
      <c r="B56" s="23" t="inlineStr">
        <is>
          <t>@noa__ii2</t>
        </is>
      </c>
      <c r="C56" s="23" t="inlineStr">
        <is>
          <t>@noa__ii2</t>
        </is>
      </c>
      <c r="D56" s="26" t="n">
        <v>2.75</v>
      </c>
    </row>
    <row r="57">
      <c r="A57" s="23" t="inlineStr">
        <is>
          <t>FSLY</t>
        </is>
      </c>
      <c r="B57" s="23" t="inlineStr">
        <is>
          <t>@Analytica_X</t>
        </is>
      </c>
      <c r="C57" s="23" t="inlineStr">
        <is>
          <t>@adudetrading</t>
        </is>
      </c>
      <c r="D57" s="26" t="n">
        <v>1.094036697247706</v>
      </c>
    </row>
    <row r="58">
      <c r="A58" s="23" t="inlineStr">
        <is>
          <t>IPGP</t>
        </is>
      </c>
      <c r="B58" s="23" t="inlineStr">
        <is>
          <t>@ascharya108</t>
        </is>
      </c>
      <c r="C58" s="23" t="inlineStr">
        <is>
          <t>@BlackScholesMan</t>
        </is>
      </c>
      <c r="D58" s="26" t="n">
        <v>0.3823423747081012</v>
      </c>
    </row>
    <row r="59">
      <c r="A59" s="23" t="inlineStr">
        <is>
          <t>ICHR</t>
        </is>
      </c>
      <c r="B59" s="23" t="inlineStr">
        <is>
          <t>@TheValueist</t>
        </is>
      </c>
      <c r="C59" s="23" t="inlineStr">
        <is>
          <t>@TheValueist</t>
        </is>
      </c>
      <c r="D59" s="26" t="n">
        <v>0.3711521547933159</v>
      </c>
    </row>
    <row r="60">
      <c r="A60" s="23" t="inlineStr">
        <is>
          <t>CCCX</t>
        </is>
      </c>
      <c r="B60" s="23" t="inlineStr">
        <is>
          <t>@grassosteve</t>
        </is>
      </c>
      <c r="C60" s="23" t="inlineStr">
        <is>
          <t>@pennycheck</t>
        </is>
      </c>
      <c r="D60" s="26" t="n">
        <v>0.2418181818181819</v>
      </c>
    </row>
    <row r="61">
      <c r="A61" s="23" t="inlineStr">
        <is>
          <t>SOLS</t>
        </is>
      </c>
      <c r="B61" s="23" t="inlineStr">
        <is>
          <t>@MNTonX</t>
        </is>
      </c>
      <c r="C61" s="23" t="inlineStr">
        <is>
          <t>@tradergokux</t>
        </is>
      </c>
      <c r="D61" s="26" t="n">
        <v>0.2097123414785029</v>
      </c>
    </row>
    <row r="62">
      <c r="A62" s="23" t="inlineStr">
        <is>
          <t>SKM</t>
        </is>
      </c>
      <c r="B62" s="23" t="inlineStr">
        <is>
          <t>@tamsa00700</t>
        </is>
      </c>
      <c r="C62" s="23" t="inlineStr">
        <is>
          <t>@MapleLeafCap</t>
        </is>
      </c>
      <c r="D62" s="26" t="n">
        <v>0.1384615384615384</v>
      </c>
    </row>
    <row r="63">
      <c r="A63" s="23" t="inlineStr">
        <is>
          <t>IRDM</t>
        </is>
      </c>
      <c r="B63" s="23" t="inlineStr">
        <is>
          <t>@BlackScholesMan</t>
        </is>
      </c>
      <c r="C63" s="23" t="inlineStr">
        <is>
          <t>@pennycheck</t>
        </is>
      </c>
      <c r="D63" s="26" t="n">
        <v>0.1214908034849953</v>
      </c>
    </row>
    <row r="64">
      <c r="A64" s="23" t="inlineStr">
        <is>
          <t>PSRHF</t>
        </is>
      </c>
      <c r="B64" s="23" t="inlineStr">
        <is>
          <t>@Minnvestor</t>
        </is>
      </c>
      <c r="C64" s="23" t="inlineStr">
        <is>
          <t>@Share_Talk</t>
        </is>
      </c>
      <c r="D64" s="26" t="n">
        <v>0.110236220472441</v>
      </c>
    </row>
    <row r="65">
      <c r="A65" s="23" t="inlineStr">
        <is>
          <t>UCTT</t>
        </is>
      </c>
      <c r="B65" s="23" t="inlineStr">
        <is>
          <t>@Clayhams1</t>
        </is>
      </c>
      <c r="C65" s="23" t="inlineStr">
        <is>
          <t>@DeNebulord</t>
        </is>
      </c>
      <c r="D65" s="26" t="n">
        <v>0.09235919653406843</v>
      </c>
    </row>
    <row r="67">
      <c r="A67" s="23" t="inlineStr">
        <is>
          <t>Memely Thematic Ranking (week 8 of 2026)</t>
        </is>
      </c>
    </row>
    <row r="68">
      <c r="B68" s="23" t="inlineStr">
        <is>
          <t>first call X kol</t>
        </is>
      </c>
      <c r="C68" s="23" t="inlineStr">
        <is>
          <t>top contributor</t>
        </is>
      </c>
      <c r="D68" s="23" t="inlineStr">
        <is>
          <t>performance</t>
        </is>
      </c>
    </row>
    <row r="69">
      <c r="A69" s="23" t="inlineStr">
        <is>
          <t>ATOM</t>
        </is>
      </c>
      <c r="B69" s="23" t="inlineStr">
        <is>
          <t>https://x.com/Analytica_X</t>
        </is>
      </c>
      <c r="C69" s="23" t="inlineStr">
        <is>
          <t>https://x.com/Thebullwhisper</t>
        </is>
      </c>
      <c r="D69" s="26" t="n">
        <v>0.477</v>
      </c>
    </row>
    <row r="70">
      <c r="A70" s="23" t="inlineStr">
        <is>
          <t>AEHR</t>
        </is>
      </c>
      <c r="B70" s="23" t="inlineStr">
        <is>
          <t>https://x.com/SunvMikey</t>
        </is>
      </c>
      <c r="C70" s="23" t="inlineStr">
        <is>
          <t>https://x.com/SunvMikey</t>
        </is>
      </c>
      <c r="D70" s="26" t="n">
        <v>0.2198</v>
      </c>
    </row>
    <row r="71">
      <c r="A71" s="23" t="inlineStr">
        <is>
          <t>AAOI</t>
        </is>
      </c>
      <c r="B71" s="23" t="inlineStr">
        <is>
          <t>https://x.com/Venu_7_</t>
        </is>
      </c>
      <c r="C71" s="23" t="inlineStr">
        <is>
          <t>https://x.com/crux_capital_</t>
        </is>
      </c>
      <c r="D71" s="26" t="n">
        <v>0.2085</v>
      </c>
    </row>
    <row r="72">
      <c r="A72" s="23" t="inlineStr">
        <is>
          <t>DPRO</t>
        </is>
      </c>
      <c r="B72" s="4" t="inlineStr">
        <is>
          <t>https://x.com/fundmyfund</t>
        </is>
      </c>
      <c r="C72" s="23" t="inlineStr">
        <is>
          <t>https://x.com/fundmyfund</t>
        </is>
      </c>
      <c r="D72" s="26" t="n">
        <v>0.1524</v>
      </c>
    </row>
    <row r="73">
      <c r="A73" s="23" t="inlineStr">
        <is>
          <t>AXTI</t>
        </is>
      </c>
      <c r="B73" s="23" t="inlineStr">
        <is>
          <t>https://x.com/YieldCurveBalI</t>
        </is>
      </c>
      <c r="C73" s="23" t="inlineStr">
        <is>
          <t>https://x.com/aleabitoreddit</t>
        </is>
      </c>
      <c r="D73" s="26" t="n">
        <v>0.132</v>
      </c>
    </row>
    <row r="74">
      <c r="A74" s="23" t="inlineStr">
        <is>
          <t>UMAC</t>
        </is>
      </c>
      <c r="B74" s="23" t="inlineStr">
        <is>
          <t>https://x.com/thehustlebrosyt</t>
        </is>
      </c>
      <c r="C74" s="23" t="inlineStr">
        <is>
          <t>https://x.com/fundmyfund</t>
        </is>
      </c>
      <c r="D74" s="26" t="n">
        <v>0.1242</v>
      </c>
    </row>
    <row r="75">
      <c r="A75" s="23" t="inlineStr">
        <is>
          <t>ETOR</t>
        </is>
      </c>
      <c r="B75" s="23" t="inlineStr">
        <is>
          <t>https://x.com/matthew_sigel</t>
        </is>
      </c>
      <c r="C75" s="23" t="inlineStr">
        <is>
          <t>https://x.com/TipRanks</t>
        </is>
      </c>
      <c r="D75" s="26" t="n">
        <v>0.1125</v>
      </c>
    </row>
    <row r="76">
      <c r="A76" s="23" t="inlineStr">
        <is>
          <t>RCAT</t>
        </is>
      </c>
      <c r="B76" s="23" t="inlineStr">
        <is>
          <t>https://x.com/itech_analyst</t>
        </is>
      </c>
      <c r="C76" s="23" t="inlineStr">
        <is>
          <t>https://x.com/TheValueist</t>
        </is>
      </c>
      <c r="D76" s="26" t="n">
        <v>0.08799999999999999</v>
      </c>
    </row>
    <row r="77">
      <c r="A77" s="23" t="inlineStr">
        <is>
          <t>ALMU</t>
        </is>
      </c>
      <c r="B77" s="4" t="inlineStr">
        <is>
          <t>https://x.com/crux_capital_</t>
        </is>
      </c>
      <c r="C77" s="4" t="inlineStr">
        <is>
          <t>https://x.com/crux_capital_</t>
        </is>
      </c>
      <c r="D77" s="26" t="n">
        <v>0.0818</v>
      </c>
    </row>
    <row r="78">
      <c r="A78" s="23" t="inlineStr">
        <is>
          <t>ONDS</t>
        </is>
      </c>
      <c r="B78" s="23" t="inlineStr">
        <is>
          <t>https://x.com/StonkValue</t>
        </is>
      </c>
      <c r="C78" s="23" t="inlineStr">
        <is>
          <t>https://x.com/Jake__Wujastyk</t>
        </is>
      </c>
      <c r="D78" s="26" t="n">
        <v>0.0784</v>
      </c>
    </row>
    <row r="80">
      <c r="A80" s="23" t="inlineStr">
        <is>
          <t>Memely Thematic Ranking (week 9 of 2026)</t>
        </is>
      </c>
    </row>
    <row r="81">
      <c r="B81" s="23" t="inlineStr">
        <is>
          <t>first call X kol</t>
        </is>
      </c>
      <c r="C81" s="23" t="inlineStr">
        <is>
          <t>top contributor</t>
        </is>
      </c>
      <c r="D81" s="23" t="inlineStr">
        <is>
          <t>performance</t>
        </is>
      </c>
    </row>
    <row r="82">
      <c r="A82" s="23" t="inlineStr">
        <is>
          <t>AAOI</t>
        </is>
      </c>
      <c r="B82" s="23" t="inlineStr">
        <is>
          <t>https://x.com/Venu_7_</t>
        </is>
      </c>
      <c r="C82" s="23" t="inlineStr">
        <is>
          <t>https://x.com/crux_capital_</t>
        </is>
      </c>
      <c r="D82" s="26" t="n">
        <v>0.8107857672349887</v>
      </c>
    </row>
    <row r="83">
      <c r="A83" s="23" t="inlineStr">
        <is>
          <t>CRCL</t>
        </is>
      </c>
      <c r="B83" s="23" t="inlineStr">
        <is>
          <t>https://x.com/jonbma</t>
        </is>
      </c>
      <c r="C83" s="5" t="inlineStr">
        <is>
          <t>https://x.com/PhyrexNi</t>
        </is>
      </c>
      <c r="D83" s="26" t="n">
        <v>0.5316331535066208</v>
      </c>
    </row>
    <row r="84">
      <c r="A84" s="23" t="inlineStr">
        <is>
          <t>AXTI</t>
        </is>
      </c>
      <c r="B84" s="23" t="inlineStr">
        <is>
          <t>https://x.com/YieldCurveBalI</t>
        </is>
      </c>
      <c r="C84" s="23" t="inlineStr">
        <is>
          <t>https://x.com/aleabitoreddit</t>
        </is>
      </c>
      <c r="D84" s="26" t="n">
        <v>0.3974674639465352</v>
      </c>
    </row>
    <row r="85">
      <c r="A85" s="23" t="inlineStr">
        <is>
          <t>UAMY</t>
        </is>
      </c>
      <c r="B85" s="23" t="inlineStr">
        <is>
          <t>https://x.com/USAC_Bull</t>
        </is>
      </c>
      <c r="C85" s="23" t="inlineStr">
        <is>
          <t>https://x.com/USAC_Bull</t>
        </is>
      </c>
      <c r="D85" s="26" t="n">
        <v>0.3023255813953487</v>
      </c>
    </row>
    <row r="86">
      <c r="A86" s="23" t="inlineStr">
        <is>
          <t>OPRA</t>
        </is>
      </c>
      <c r="B86" s="23" t="inlineStr">
        <is>
          <t>https://x.com/Pray4Equity</t>
        </is>
      </c>
      <c r="C86" s="23" t="inlineStr">
        <is>
          <t>https://x.com/MrStockLockPro1</t>
        </is>
      </c>
      <c r="D86" s="26" t="n">
        <v>0.289891395154553</v>
      </c>
    </row>
    <row r="87">
      <c r="A87" s="23" t="inlineStr">
        <is>
          <t>ALM</t>
        </is>
      </c>
      <c r="B87" s="23" t="inlineStr">
        <is>
          <t>https://x.com/Alexsei88</t>
        </is>
      </c>
      <c r="C87" s="23" t="inlineStr">
        <is>
          <t>https://x.com/Alexsei88</t>
        </is>
      </c>
      <c r="D87" s="26" t="n">
        <v>0.323852617970265</v>
      </c>
    </row>
    <row r="88">
      <c r="A88" s="23" t="inlineStr">
        <is>
          <t>RDW</t>
        </is>
      </c>
      <c r="B88" s="23" t="inlineStr">
        <is>
          <t>https://x.com/SpaceInvestor_D</t>
        </is>
      </c>
      <c r="C88" s="23" t="inlineStr">
        <is>
          <t>https://x.com/SpaceInvestor_D</t>
        </is>
      </c>
      <c r="D88" s="26" t="n">
        <v>0.2216748768472907</v>
      </c>
    </row>
    <row r="89">
      <c r="A89" s="23" t="inlineStr">
        <is>
          <t>IONQ</t>
        </is>
      </c>
      <c r="B89" s="23" t="inlineStr">
        <is>
          <t>https://x.com/StockSavvyShay</t>
        </is>
      </c>
      <c r="C89" s="23" t="inlineStr">
        <is>
          <t>https://x.com/InvestorsLive</t>
        </is>
      </c>
      <c r="D89" s="26" t="n">
        <v>0.2339181286549705</v>
      </c>
    </row>
    <row r="90">
      <c r="A90" s="23" t="inlineStr">
        <is>
          <t>ALMU</t>
        </is>
      </c>
      <c r="B90" s="23" t="inlineStr">
        <is>
          <t>https://x.com/crux_capital_</t>
        </is>
      </c>
      <c r="C90" s="23" t="inlineStr">
        <is>
          <t>https://x.com/crux_capital_</t>
        </is>
      </c>
      <c r="D90" s="26" t="n">
        <v>0.2431222008957132</v>
      </c>
    </row>
    <row r="91">
      <c r="A91" s="23" t="inlineStr">
        <is>
          <t>PPTA</t>
        </is>
      </c>
      <c r="B91" s="23" t="inlineStr">
        <is>
          <t>https://x.com/Junior_Stocks</t>
        </is>
      </c>
      <c r="C91" s="23" t="inlineStr">
        <is>
          <t>https://x.com/USAC_Bull</t>
        </is>
      </c>
      <c r="D91" s="26" t="n">
        <v>0.1920158363576379</v>
      </c>
    </row>
    <row r="93">
      <c r="A93" s="23" t="inlineStr">
        <is>
          <t>Memely Thematic Ranking (week 10 of 2026)</t>
        </is>
      </c>
    </row>
    <row r="94">
      <c r="B94" s="23" t="inlineStr">
        <is>
          <t>first call X kol</t>
        </is>
      </c>
      <c r="C94" s="23" t="inlineStr">
        <is>
          <t>top contributor</t>
        </is>
      </c>
      <c r="D94" s="23" t="inlineStr">
        <is>
          <t>performance</t>
        </is>
      </c>
    </row>
    <row r="95">
      <c r="A95" s="23" t="inlineStr">
        <is>
          <t>AMPX</t>
        </is>
      </c>
      <c r="B95" s="4" t="inlineStr">
        <is>
          <t>https://x.com/DekmarTrades</t>
        </is>
      </c>
      <c r="C95" s="4" t="inlineStr">
        <is>
          <t>https://x.com/pennycheck</t>
        </is>
      </c>
      <c r="D95" s="36" t="n">
        <v>0.409</v>
      </c>
    </row>
    <row r="96">
      <c r="A96" s="23" t="inlineStr">
        <is>
          <t>GEMI</t>
        </is>
      </c>
      <c r="B96" s="5" t="inlineStr">
        <is>
          <t>https://x.com/LizClaman</t>
        </is>
      </c>
      <c r="C96" s="4" t="inlineStr">
        <is>
          <t>https://x.com/TipRanks</t>
        </is>
      </c>
      <c r="D96" s="36" t="n">
        <v>0.3545</v>
      </c>
    </row>
    <row r="97">
      <c r="A97" s="23" t="inlineStr">
        <is>
          <t>GDRZF</t>
        </is>
      </c>
      <c r="B97" s="4" t="inlineStr">
        <is>
          <t>https://x.com/LionelHutz_Esq</t>
        </is>
      </c>
      <c r="C97" s="4" t="inlineStr">
        <is>
          <t>https://x.com/aleabitoreddit</t>
        </is>
      </c>
      <c r="D97" s="36" t="n">
        <v>0.25</v>
      </c>
    </row>
    <row r="98">
      <c r="A98" s="23" t="inlineStr">
        <is>
          <t>LEXX</t>
        </is>
      </c>
      <c r="B98" s="5" t="inlineStr">
        <is>
          <t>https://x.com/wa7ermelon</t>
        </is>
      </c>
      <c r="C98" s="5" t="inlineStr">
        <is>
          <t>https://x.com/BarnyardBull72</t>
        </is>
      </c>
      <c r="D98" s="36" t="n">
        <v>0.169</v>
      </c>
    </row>
    <row r="99">
      <c r="A99" s="23" t="inlineStr">
        <is>
          <t>UMAC</t>
        </is>
      </c>
      <c r="B99" s="4" t="inlineStr">
        <is>
          <t>https://x.com/thehustlebrosyt</t>
        </is>
      </c>
      <c r="C99" s="4" t="inlineStr">
        <is>
          <t>https://x.com/fundmyfund</t>
        </is>
      </c>
      <c r="D99" s="36" t="n">
        <v>0.1576</v>
      </c>
    </row>
    <row r="100">
      <c r="A100" s="23" t="inlineStr">
        <is>
          <t>RCAT</t>
        </is>
      </c>
      <c r="B100" s="4" t="inlineStr">
        <is>
          <t>https://x.com/itech_analyst</t>
        </is>
      </c>
      <c r="C100" s="4" t="inlineStr">
        <is>
          <t>https://x.com/TheValueist</t>
        </is>
      </c>
      <c r="D100" s="36" t="n">
        <v>0.1236</v>
      </c>
    </row>
    <row r="101">
      <c r="A101" s="23" t="inlineStr">
        <is>
          <t>PATH</t>
        </is>
      </c>
      <c r="B101" s="4" t="inlineStr">
        <is>
          <t>https://x.com/Venu_7_</t>
        </is>
      </c>
      <c r="C101" s="4" t="inlineStr">
        <is>
          <t>https://x.com/RedDogT3</t>
        </is>
      </c>
      <c r="D101" s="36" t="n">
        <v>0.1084</v>
      </c>
    </row>
    <row r="102">
      <c r="A102" s="23" t="inlineStr">
        <is>
          <t>AVAV</t>
        </is>
      </c>
      <c r="B102" s="4" t="inlineStr">
        <is>
          <t>https://x.com/TheValueist</t>
        </is>
      </c>
      <c r="C102" s="4" t="inlineStr">
        <is>
          <t>https://x.com/TheValueist</t>
        </is>
      </c>
      <c r="D102" s="36" t="n">
        <v>0.1031</v>
      </c>
    </row>
    <row r="103">
      <c r="A103" s="23" t="inlineStr">
        <is>
          <t>INTT</t>
        </is>
      </c>
      <c r="B103" s="5" t="inlineStr">
        <is>
          <t>https://x.com/TentyTheToitle</t>
        </is>
      </c>
      <c r="C103" s="5" t="inlineStr">
        <is>
          <t>https://x.com/RobertMarcin</t>
        </is>
      </c>
      <c r="D103" s="36" t="n">
        <v>0.0852</v>
      </c>
    </row>
    <row r="104">
      <c r="A104" s="23" t="inlineStr">
        <is>
          <t>ZETA</t>
        </is>
      </c>
      <c r="B104" s="4" t="inlineStr">
        <is>
          <t>https://x.com/TheRonnieVShow</t>
        </is>
      </c>
      <c r="C104" s="4" t="inlineStr">
        <is>
          <t>https://x.com/MrMikeInvesting</t>
        </is>
      </c>
      <c r="D104" s="36" t="n">
        <v>0.08400000000000001</v>
      </c>
    </row>
  </sheetData>
  <hyperlinks>
    <hyperlink xmlns:r="http://schemas.openxmlformats.org/officeDocument/2006/relationships" ref="B4" r:id="rId1"/>
    <hyperlink xmlns:r="http://schemas.openxmlformats.org/officeDocument/2006/relationships" ref="C4" r:id="rId2"/>
    <hyperlink xmlns:r="http://schemas.openxmlformats.org/officeDocument/2006/relationships" ref="B5" r:id="rId3"/>
    <hyperlink xmlns:r="http://schemas.openxmlformats.org/officeDocument/2006/relationships" ref="C5" r:id="rId4"/>
    <hyperlink xmlns:r="http://schemas.openxmlformats.org/officeDocument/2006/relationships" ref="B6" r:id="rId5"/>
    <hyperlink xmlns:r="http://schemas.openxmlformats.org/officeDocument/2006/relationships" ref="C6" r:id="rId6"/>
    <hyperlink xmlns:r="http://schemas.openxmlformats.org/officeDocument/2006/relationships" ref="B7" r:id="rId7"/>
    <hyperlink xmlns:r="http://schemas.openxmlformats.org/officeDocument/2006/relationships" ref="C7" r:id="rId8"/>
    <hyperlink xmlns:r="http://schemas.openxmlformats.org/officeDocument/2006/relationships" ref="B8" r:id="rId9"/>
    <hyperlink xmlns:r="http://schemas.openxmlformats.org/officeDocument/2006/relationships" ref="C8" r:id="rId10"/>
    <hyperlink xmlns:r="http://schemas.openxmlformats.org/officeDocument/2006/relationships" ref="B9" r:id="rId11"/>
    <hyperlink xmlns:r="http://schemas.openxmlformats.org/officeDocument/2006/relationships" ref="C9" r:id="rId12"/>
    <hyperlink xmlns:r="http://schemas.openxmlformats.org/officeDocument/2006/relationships" ref="B10" r:id="rId13"/>
    <hyperlink xmlns:r="http://schemas.openxmlformats.org/officeDocument/2006/relationships" ref="C10" r:id="rId14"/>
    <hyperlink xmlns:r="http://schemas.openxmlformats.org/officeDocument/2006/relationships" ref="B11" r:id="rId15"/>
    <hyperlink xmlns:r="http://schemas.openxmlformats.org/officeDocument/2006/relationships" ref="C11" r:id="rId16"/>
    <hyperlink xmlns:r="http://schemas.openxmlformats.org/officeDocument/2006/relationships" ref="B12" r:id="rId17"/>
    <hyperlink xmlns:r="http://schemas.openxmlformats.org/officeDocument/2006/relationships" ref="C12" r:id="rId18"/>
    <hyperlink xmlns:r="http://schemas.openxmlformats.org/officeDocument/2006/relationships" ref="B13" r:id="rId19"/>
    <hyperlink xmlns:r="http://schemas.openxmlformats.org/officeDocument/2006/relationships" ref="C13" r:id="rId20"/>
    <hyperlink xmlns:r="http://schemas.openxmlformats.org/officeDocument/2006/relationships" ref="B17" r:id="rId21"/>
    <hyperlink xmlns:r="http://schemas.openxmlformats.org/officeDocument/2006/relationships" ref="C17" r:id="rId22"/>
    <hyperlink xmlns:r="http://schemas.openxmlformats.org/officeDocument/2006/relationships" ref="B18" r:id="rId23"/>
    <hyperlink xmlns:r="http://schemas.openxmlformats.org/officeDocument/2006/relationships" ref="C18" r:id="rId24"/>
    <hyperlink xmlns:r="http://schemas.openxmlformats.org/officeDocument/2006/relationships" ref="B19" r:id="rId25"/>
    <hyperlink xmlns:r="http://schemas.openxmlformats.org/officeDocument/2006/relationships" ref="C19" r:id="rId26"/>
    <hyperlink xmlns:r="http://schemas.openxmlformats.org/officeDocument/2006/relationships" ref="B20" r:id="rId27"/>
    <hyperlink xmlns:r="http://schemas.openxmlformats.org/officeDocument/2006/relationships" ref="C20" r:id="rId28"/>
    <hyperlink xmlns:r="http://schemas.openxmlformats.org/officeDocument/2006/relationships" ref="B21" r:id="rId29"/>
    <hyperlink xmlns:r="http://schemas.openxmlformats.org/officeDocument/2006/relationships" ref="C21" r:id="rId30"/>
    <hyperlink xmlns:r="http://schemas.openxmlformats.org/officeDocument/2006/relationships" ref="B22" r:id="rId31"/>
    <hyperlink xmlns:r="http://schemas.openxmlformats.org/officeDocument/2006/relationships" ref="C22" r:id="rId32"/>
    <hyperlink xmlns:r="http://schemas.openxmlformats.org/officeDocument/2006/relationships" ref="B23" r:id="rId33"/>
    <hyperlink xmlns:r="http://schemas.openxmlformats.org/officeDocument/2006/relationships" ref="C23" r:id="rId34"/>
    <hyperlink xmlns:r="http://schemas.openxmlformats.org/officeDocument/2006/relationships" ref="B24" r:id="rId35"/>
    <hyperlink xmlns:r="http://schemas.openxmlformats.org/officeDocument/2006/relationships" ref="C24" r:id="rId36"/>
    <hyperlink xmlns:r="http://schemas.openxmlformats.org/officeDocument/2006/relationships" ref="B25" r:id="rId37"/>
    <hyperlink xmlns:r="http://schemas.openxmlformats.org/officeDocument/2006/relationships" ref="C25" r:id="rId38"/>
    <hyperlink xmlns:r="http://schemas.openxmlformats.org/officeDocument/2006/relationships" ref="B26" r:id="rId39"/>
    <hyperlink xmlns:r="http://schemas.openxmlformats.org/officeDocument/2006/relationships" ref="C26" r:id="rId40"/>
    <hyperlink xmlns:r="http://schemas.openxmlformats.org/officeDocument/2006/relationships" ref="B30" r:id="rId41"/>
    <hyperlink xmlns:r="http://schemas.openxmlformats.org/officeDocument/2006/relationships" ref="C30" r:id="rId42"/>
    <hyperlink xmlns:r="http://schemas.openxmlformats.org/officeDocument/2006/relationships" ref="B31" r:id="rId43"/>
    <hyperlink xmlns:r="http://schemas.openxmlformats.org/officeDocument/2006/relationships" ref="C31" r:id="rId44"/>
    <hyperlink xmlns:r="http://schemas.openxmlformats.org/officeDocument/2006/relationships" ref="B32" r:id="rId45"/>
    <hyperlink xmlns:r="http://schemas.openxmlformats.org/officeDocument/2006/relationships" ref="C32" r:id="rId46"/>
    <hyperlink xmlns:r="http://schemas.openxmlformats.org/officeDocument/2006/relationships" ref="C33" r:id="rId47"/>
    <hyperlink xmlns:r="http://schemas.openxmlformats.org/officeDocument/2006/relationships" ref="B34" r:id="rId48"/>
    <hyperlink xmlns:r="http://schemas.openxmlformats.org/officeDocument/2006/relationships" ref="B36" r:id="rId49"/>
    <hyperlink xmlns:r="http://schemas.openxmlformats.org/officeDocument/2006/relationships" ref="C36" r:id="rId50"/>
    <hyperlink xmlns:r="http://schemas.openxmlformats.org/officeDocument/2006/relationships" ref="B37" r:id="rId51"/>
    <hyperlink xmlns:r="http://schemas.openxmlformats.org/officeDocument/2006/relationships" ref="C37" r:id="rId52"/>
    <hyperlink xmlns:r="http://schemas.openxmlformats.org/officeDocument/2006/relationships" ref="B38" r:id="rId53"/>
    <hyperlink xmlns:r="http://schemas.openxmlformats.org/officeDocument/2006/relationships" ref="C38" r:id="rId54"/>
    <hyperlink xmlns:r="http://schemas.openxmlformats.org/officeDocument/2006/relationships" ref="B39" r:id="rId55"/>
    <hyperlink xmlns:r="http://schemas.openxmlformats.org/officeDocument/2006/relationships" ref="C39" r:id="rId56"/>
    <hyperlink xmlns:r="http://schemas.openxmlformats.org/officeDocument/2006/relationships" ref="B72" r:id="rId57"/>
    <hyperlink xmlns:r="http://schemas.openxmlformats.org/officeDocument/2006/relationships" ref="B77" r:id="rId58"/>
    <hyperlink xmlns:r="http://schemas.openxmlformats.org/officeDocument/2006/relationships" ref="C77" r:id="rId59"/>
    <hyperlink xmlns:r="http://schemas.openxmlformats.org/officeDocument/2006/relationships" ref="C83" r:id="rId60"/>
    <hyperlink xmlns:r="http://schemas.openxmlformats.org/officeDocument/2006/relationships" ref="B95" r:id="rId61"/>
    <hyperlink xmlns:r="http://schemas.openxmlformats.org/officeDocument/2006/relationships" ref="C95" r:id="rId62"/>
    <hyperlink xmlns:r="http://schemas.openxmlformats.org/officeDocument/2006/relationships" ref="B96" r:id="rId63"/>
    <hyperlink xmlns:r="http://schemas.openxmlformats.org/officeDocument/2006/relationships" ref="C96" r:id="rId64"/>
    <hyperlink xmlns:r="http://schemas.openxmlformats.org/officeDocument/2006/relationships" ref="B97" r:id="rId65"/>
    <hyperlink xmlns:r="http://schemas.openxmlformats.org/officeDocument/2006/relationships" ref="C97" r:id="rId66"/>
    <hyperlink xmlns:r="http://schemas.openxmlformats.org/officeDocument/2006/relationships" ref="B98" r:id="rId67"/>
    <hyperlink xmlns:r="http://schemas.openxmlformats.org/officeDocument/2006/relationships" ref="C98" r:id="rId68"/>
    <hyperlink xmlns:r="http://schemas.openxmlformats.org/officeDocument/2006/relationships" ref="B99" r:id="rId69"/>
    <hyperlink xmlns:r="http://schemas.openxmlformats.org/officeDocument/2006/relationships" ref="C99" r:id="rId70"/>
    <hyperlink xmlns:r="http://schemas.openxmlformats.org/officeDocument/2006/relationships" ref="B100" r:id="rId71"/>
    <hyperlink xmlns:r="http://schemas.openxmlformats.org/officeDocument/2006/relationships" ref="C100" r:id="rId72"/>
    <hyperlink xmlns:r="http://schemas.openxmlformats.org/officeDocument/2006/relationships" ref="B101" r:id="rId73"/>
    <hyperlink xmlns:r="http://schemas.openxmlformats.org/officeDocument/2006/relationships" ref="C101" r:id="rId74"/>
    <hyperlink xmlns:r="http://schemas.openxmlformats.org/officeDocument/2006/relationships" ref="B102" r:id="rId75"/>
    <hyperlink xmlns:r="http://schemas.openxmlformats.org/officeDocument/2006/relationships" ref="C102" r:id="rId76"/>
    <hyperlink xmlns:r="http://schemas.openxmlformats.org/officeDocument/2006/relationships" ref="B103" r:id="rId77"/>
    <hyperlink xmlns:r="http://schemas.openxmlformats.org/officeDocument/2006/relationships" ref="C103" r:id="rId78"/>
    <hyperlink xmlns:r="http://schemas.openxmlformats.org/officeDocument/2006/relationships" ref="B104" r:id="rId79"/>
    <hyperlink xmlns:r="http://schemas.openxmlformats.org/officeDocument/2006/relationships" ref="C104" r:id="rId80"/>
  </hyperlinks>
  <pageMargins left="0.75" right="0.75" top="1" bottom="1" header="0.5" footer="0.5"/>
</worksheet>
</file>

<file path=xl/worksheets/sheet4.xml><?xml version="1.0" encoding="utf-8"?>
<worksheet xmlns="http://schemas.openxmlformats.org/spreadsheetml/2006/main">
  <sheetPr>
    <outlinePr summaryBelow="0" summaryRight="0"/>
    <pageSetUpPr/>
  </sheetPr>
  <dimension ref="A1:P90"/>
  <sheetViews>
    <sheetView workbookViewId="0">
      <selection activeCell="A1" sqref="A1"/>
    </sheetView>
  </sheetViews>
  <sheetFormatPr baseColWidth="8" defaultColWidth="12.63" defaultRowHeight="15.75" customHeight="1"/>
  <cols>
    <col width="19.75" customWidth="1" style="41" min="3" max="3"/>
    <col width="13.38" customWidth="1" style="41" min="4" max="4"/>
  </cols>
  <sheetData>
    <row r="1">
      <c r="A1" s="37" t="inlineStr">
        <is>
          <t>Memely Thematic Ranking (YTD 2026/01/24)</t>
        </is>
      </c>
      <c r="B1" s="37" t="n"/>
      <c r="C1" s="37" t="n"/>
      <c r="D1" s="23" t="n"/>
    </row>
    <row r="2">
      <c r="A2" s="37" t="inlineStr">
        <is>
          <t>Stock</t>
        </is>
      </c>
      <c r="B2" s="37" t="inlineStr">
        <is>
          <t>first call X kol</t>
        </is>
      </c>
      <c r="C2" s="37" t="inlineStr">
        <is>
          <t>top contributor</t>
        </is>
      </c>
      <c r="D2" s="23" t="inlineStr">
        <is>
          <t>performance</t>
        </is>
      </c>
    </row>
    <row r="3">
      <c r="A3" s="37" t="inlineStr">
        <is>
          <t>CRML</t>
        </is>
      </c>
      <c r="B3" s="19" t="inlineStr">
        <is>
          <t>@invest4_life</t>
        </is>
      </c>
      <c r="C3" s="19" t="inlineStr">
        <is>
          <t>@Speculator_io</t>
        </is>
      </c>
      <c r="D3" s="26" t="n">
        <v>1.539408866995074</v>
      </c>
    </row>
    <row r="4">
      <c r="A4" s="37" t="inlineStr">
        <is>
          <t>GDRZF</t>
        </is>
      </c>
      <c r="B4" s="19" t="inlineStr">
        <is>
          <t>@LionelHutz_Esq</t>
        </is>
      </c>
      <c r="C4" s="19" t="inlineStr">
        <is>
          <t>@aleabitoreddit</t>
        </is>
      </c>
      <c r="D4" s="26" t="n">
        <v>1.380952380952381</v>
      </c>
    </row>
    <row r="5">
      <c r="A5" s="37" t="inlineStr">
        <is>
          <t>PSRHF</t>
        </is>
      </c>
      <c r="B5" s="19" t="inlineStr">
        <is>
          <t>@Minnvestor</t>
        </is>
      </c>
      <c r="C5" s="19" t="inlineStr">
        <is>
          <t>@Share_Talk</t>
        </is>
      </c>
      <c r="D5" s="26" t="n">
        <v>1.080645161290323</v>
      </c>
    </row>
    <row r="6">
      <c r="A6" s="37" t="inlineStr">
        <is>
          <t>ASTI</t>
        </is>
      </c>
      <c r="B6" s="19" t="inlineStr">
        <is>
          <t>@YeahDrDave</t>
        </is>
      </c>
      <c r="C6" s="19" t="inlineStr">
        <is>
          <t>@Reformed_Trader</t>
        </is>
      </c>
      <c r="D6" s="26" t="n">
        <v>0.8029556650246308</v>
      </c>
    </row>
    <row r="7">
      <c r="A7" s="37" t="inlineStr">
        <is>
          <t>RCAT</t>
        </is>
      </c>
      <c r="B7" s="19" t="inlineStr">
        <is>
          <t>@itech_analyst</t>
        </is>
      </c>
      <c r="C7" s="19" t="inlineStr">
        <is>
          <t>@TheValueist</t>
        </is>
      </c>
      <c r="D7" s="26" t="n">
        <v>0.7506</v>
      </c>
    </row>
    <row r="8">
      <c r="A8" s="37" t="inlineStr">
        <is>
          <t>OSS</t>
        </is>
      </c>
      <c r="B8" s="19" t="inlineStr">
        <is>
          <t>@crux_capital_</t>
        </is>
      </c>
      <c r="C8" s="19" t="inlineStr">
        <is>
          <t>@BlackPantherCap</t>
        </is>
      </c>
      <c r="D8" s="26" t="n">
        <v>0.5588235294117647</v>
      </c>
    </row>
    <row r="9">
      <c r="A9" s="37" t="inlineStr">
        <is>
          <t>FIGR</t>
        </is>
      </c>
      <c r="B9" s="19" t="inlineStr">
        <is>
          <t>@Venu_7_</t>
        </is>
      </c>
      <c r="C9" s="19" t="inlineStr">
        <is>
          <t>@matthew_sigel/status/1965335679170179466</t>
        </is>
      </c>
      <c r="D9" s="26" t="n">
        <v>0.4368998628257887</v>
      </c>
    </row>
    <row r="10">
      <c r="A10" s="37" t="inlineStr">
        <is>
          <t>SKYT</t>
        </is>
      </c>
      <c r="B10" s="19" t="inlineStr">
        <is>
          <t>@pennycheck</t>
        </is>
      </c>
      <c r="C10" s="19" t="inlineStr">
        <is>
          <t>@SJCapitalInvest</t>
        </is>
      </c>
      <c r="D10" s="26" t="n">
        <v>0.3963441818992421</v>
      </c>
    </row>
    <row r="11">
      <c r="A11" s="37" t="inlineStr">
        <is>
          <t>RDW</t>
        </is>
      </c>
      <c r="B11" s="19" t="inlineStr">
        <is>
          <t>@SpaceInvestor_D</t>
        </is>
      </c>
      <c r="C11" s="19" t="inlineStr">
        <is>
          <t>@SpaceInvestor_D</t>
        </is>
      </c>
      <c r="D11" s="26" t="n">
        <v>0.3864894795127354</v>
      </c>
    </row>
    <row r="12">
      <c r="A12" s="23" t="inlineStr">
        <is>
          <t>ASTS</t>
        </is>
      </c>
      <c r="B12" s="4" t="inlineStr">
        <is>
          <t>@KevinLMak</t>
        </is>
      </c>
      <c r="C12" s="4" t="inlineStr">
        <is>
          <t>@ASTS_SpaceMob</t>
        </is>
      </c>
      <c r="D12" s="26" t="n">
        <v>0.3606</v>
      </c>
      <c r="E12" s="40" t="n"/>
      <c r="G12" s="23" t="n"/>
      <c r="H12" s="26" t="n"/>
      <c r="I12" s="26" t="n"/>
      <c r="K12" s="26" t="n"/>
      <c r="L12" s="26" t="n"/>
    </row>
    <row r="14">
      <c r="A14" s="37" t="inlineStr">
        <is>
          <t>Memely Thematic Ranking (YTD 2026/01/31)</t>
        </is>
      </c>
      <c r="B14" s="37" t="n"/>
      <c r="C14" s="37" t="n"/>
      <c r="D14" s="23" t="n"/>
    </row>
    <row r="15">
      <c r="A15" s="37" t="inlineStr">
        <is>
          <t>Stock</t>
        </is>
      </c>
      <c r="B15" s="37" t="inlineStr">
        <is>
          <t>first call X kol</t>
        </is>
      </c>
      <c r="C15" s="37" t="inlineStr">
        <is>
          <t>top contributor</t>
        </is>
      </c>
      <c r="D15" s="37" t="inlineStr">
        <is>
          <t>performance</t>
        </is>
      </c>
      <c r="E15" s="37" t="n"/>
      <c r="F15" s="37" t="n"/>
      <c r="G15" s="37" t="n"/>
      <c r="H15" s="37" t="n"/>
      <c r="I15" s="37" t="n"/>
      <c r="J15" s="37" t="n"/>
      <c r="K15" s="37" t="n"/>
      <c r="L15" s="37" t="n"/>
      <c r="M15" s="37" t="n"/>
      <c r="N15" s="37" t="n"/>
      <c r="O15" s="37" t="n"/>
      <c r="P15" s="37" t="n"/>
    </row>
    <row r="16">
      <c r="A16" s="37" t="inlineStr">
        <is>
          <t>GDRZF</t>
        </is>
      </c>
      <c r="B16" s="20" t="inlineStr">
        <is>
          <t>@LionelHutz_Esq</t>
        </is>
      </c>
      <c r="C16" s="19" t="inlineStr">
        <is>
          <t>@aleabitoreddit</t>
        </is>
      </c>
      <c r="D16" s="27" t="n">
        <v>1.261904761904762</v>
      </c>
      <c r="E16" s="37" t="n"/>
      <c r="F16" s="37" t="n"/>
      <c r="G16" s="37" t="n"/>
      <c r="H16" s="37" t="n"/>
      <c r="I16" s="37" t="n"/>
      <c r="J16" s="37" t="n"/>
      <c r="K16" s="37" t="n"/>
      <c r="L16" s="37" t="n"/>
      <c r="M16" s="37" t="n"/>
      <c r="N16" s="37" t="n"/>
      <c r="O16" s="37" t="n"/>
      <c r="P16" s="37" t="n"/>
    </row>
    <row r="17">
      <c r="A17" s="37" t="inlineStr">
        <is>
          <t>PSRHF</t>
        </is>
      </c>
      <c r="B17" s="20" t="inlineStr">
        <is>
          <t>@Minnvestor</t>
        </is>
      </c>
      <c r="C17" s="20" t="inlineStr">
        <is>
          <t>@Share_Talk</t>
        </is>
      </c>
      <c r="D17" s="27" t="n">
        <v>0.8709677419354838</v>
      </c>
      <c r="E17" s="37" t="n"/>
      <c r="F17" s="37" t="n"/>
      <c r="G17" s="37" t="n"/>
      <c r="H17" s="37" t="n"/>
      <c r="I17" s="37" t="n"/>
      <c r="J17" s="37" t="n"/>
      <c r="K17" s="37" t="n"/>
      <c r="L17" s="37" t="n"/>
      <c r="M17" s="37" t="n"/>
      <c r="N17" s="37" t="n"/>
      <c r="O17" s="37" t="n"/>
      <c r="P17" s="37" t="n"/>
    </row>
    <row r="18">
      <c r="A18" s="37" t="inlineStr">
        <is>
          <t>CPSH</t>
        </is>
      </c>
      <c r="B18" s="20" t="inlineStr">
        <is>
          <t>@StockRocket1</t>
        </is>
      </c>
      <c r="C18" s="20" t="inlineStr">
        <is>
          <t>@StockRocket1</t>
        </is>
      </c>
      <c r="D18" s="27" t="n">
        <v>0.66875</v>
      </c>
      <c r="E18" s="37" t="n"/>
      <c r="F18" s="37" t="n"/>
      <c r="G18" s="37" t="n"/>
      <c r="H18" s="37" t="n"/>
      <c r="I18" s="37" t="n"/>
      <c r="J18" s="37" t="n"/>
      <c r="K18" s="37" t="n"/>
      <c r="L18" s="37" t="n"/>
      <c r="M18" s="37" t="n"/>
      <c r="N18" s="37" t="n"/>
      <c r="O18" s="37" t="n"/>
      <c r="P18" s="37" t="n"/>
    </row>
    <row r="19">
      <c r="A19" s="37" t="inlineStr">
        <is>
          <t>CRML</t>
        </is>
      </c>
      <c r="B19" s="20" t="inlineStr">
        <is>
          <t>@invest4_life</t>
        </is>
      </c>
      <c r="C19" s="20" t="inlineStr">
        <is>
          <t>@Speculator_io</t>
        </is>
      </c>
      <c r="D19" s="27" t="n">
        <v>0.62192118226601</v>
      </c>
      <c r="E19" s="37" t="n"/>
      <c r="F19" s="37" t="n"/>
      <c r="G19" s="37" t="n"/>
      <c r="H19" s="37" t="n"/>
      <c r="I19" s="37" t="n"/>
      <c r="J19" s="37" t="n"/>
      <c r="K19" s="37" t="n"/>
      <c r="L19" s="37" t="n"/>
      <c r="M19" s="37" t="n"/>
      <c r="N19" s="37" t="n"/>
      <c r="O19" s="37" t="n"/>
      <c r="P19" s="37" t="n"/>
    </row>
    <row r="20">
      <c r="A20" s="37" t="inlineStr">
        <is>
          <t>RCAT</t>
        </is>
      </c>
      <c r="B20" s="20" t="inlineStr">
        <is>
          <t>@itech_analyst</t>
        </is>
      </c>
      <c r="C20" s="20" t="inlineStr">
        <is>
          <t>@TheValueist</t>
        </is>
      </c>
      <c r="D20" s="27" t="n">
        <v>0.4737991266375545</v>
      </c>
      <c r="E20" s="37" t="n"/>
      <c r="F20" s="37" t="n"/>
      <c r="G20" s="37" t="n"/>
      <c r="H20" s="37" t="n"/>
      <c r="I20" s="37" t="n"/>
      <c r="J20" s="37" t="n"/>
      <c r="K20" s="37" t="n"/>
      <c r="L20" s="37" t="n"/>
      <c r="M20" s="37" t="n"/>
      <c r="N20" s="37" t="n"/>
      <c r="O20" s="37" t="n"/>
      <c r="P20" s="37" t="n"/>
    </row>
    <row r="21">
      <c r="A21" s="37" t="inlineStr">
        <is>
          <t>OSS</t>
        </is>
      </c>
      <c r="B21" s="20" t="inlineStr">
        <is>
          <t>@crux_capital_</t>
        </is>
      </c>
      <c r="C21" s="20" t="inlineStr">
        <is>
          <t>@BlackPantherCap</t>
        </is>
      </c>
      <c r="D21" s="27" t="n">
        <v>0.4544117647058825</v>
      </c>
      <c r="E21" s="37" t="n"/>
      <c r="F21" s="37" t="n"/>
      <c r="G21" s="37" t="n"/>
      <c r="H21" s="37" t="n"/>
      <c r="I21" s="37" t="n"/>
      <c r="J21" s="37" t="n"/>
      <c r="K21" s="37" t="n"/>
      <c r="L21" s="37" t="n"/>
      <c r="M21" s="37" t="n"/>
      <c r="N21" s="37" t="n"/>
      <c r="O21" s="37" t="n"/>
      <c r="P21" s="37" t="n"/>
    </row>
    <row r="22">
      <c r="A22" s="37" t="inlineStr">
        <is>
          <t>AMPX</t>
        </is>
      </c>
      <c r="B22" s="20" t="inlineStr">
        <is>
          <t>@DekmarTrades</t>
        </is>
      </c>
      <c r="C22" s="20" t="inlineStr">
        <is>
          <t>@pennycheck</t>
        </is>
      </c>
      <c r="D22" s="27" t="n">
        <v>0.423340961098398</v>
      </c>
      <c r="E22" s="37" t="n"/>
      <c r="F22" s="37" t="n"/>
      <c r="G22" s="37" t="n"/>
      <c r="H22" s="37" t="n"/>
      <c r="I22" s="37" t="n"/>
      <c r="J22" s="37" t="n"/>
      <c r="K22" s="37" t="n"/>
      <c r="L22" s="37" t="n"/>
      <c r="M22" s="37" t="n"/>
      <c r="N22" s="37" t="n"/>
      <c r="O22" s="37" t="n"/>
      <c r="P22" s="37" t="n"/>
    </row>
    <row r="23">
      <c r="A23" s="37" t="inlineStr">
        <is>
          <t>UUUU</t>
        </is>
      </c>
      <c r="B23" s="20" t="inlineStr">
        <is>
          <t>@CorleoneDon77</t>
        </is>
      </c>
      <c r="C23" s="20" t="inlineStr">
        <is>
          <t>@CorleoneDon77</t>
        </is>
      </c>
      <c r="D23" s="27" t="n">
        <v>0.3453237410071943</v>
      </c>
      <c r="E23" s="37" t="n"/>
      <c r="F23" s="37" t="n"/>
      <c r="G23" s="37" t="n"/>
      <c r="H23" s="37" t="n"/>
      <c r="I23" s="37" t="n"/>
      <c r="J23" s="37" t="n"/>
      <c r="K23" s="37" t="n"/>
      <c r="L23" s="37" t="n"/>
      <c r="M23" s="37" t="n"/>
      <c r="N23" s="37" t="n"/>
      <c r="O23" s="37" t="n"/>
      <c r="P23" s="37" t="n"/>
    </row>
    <row r="24">
      <c r="A24" s="37" t="inlineStr">
        <is>
          <t>ASTS</t>
        </is>
      </c>
      <c r="B24" s="20" t="inlineStr">
        <is>
          <t>@KevinLMak</t>
        </is>
      </c>
      <c r="C24" s="20" t="inlineStr">
        <is>
          <t>@ASTS_SpaceMob</t>
        </is>
      </c>
      <c r="D24" s="27" t="n">
        <v>0.3323349706481371</v>
      </c>
      <c r="E24" s="37" t="n"/>
      <c r="F24" s="37" t="n"/>
      <c r="G24" s="37" t="n"/>
      <c r="H24" s="37" t="n"/>
      <c r="I24" s="37" t="n"/>
      <c r="J24" s="37" t="n"/>
      <c r="K24" s="37" t="n"/>
      <c r="L24" s="37" t="n"/>
      <c r="M24" s="37" t="n"/>
      <c r="N24" s="37" t="n"/>
      <c r="O24" s="37" t="n"/>
      <c r="P24" s="37" t="n"/>
    </row>
    <row r="25">
      <c r="A25" s="37" t="inlineStr">
        <is>
          <t>RDW</t>
        </is>
      </c>
      <c r="B25" s="20" t="inlineStr">
        <is>
          <t>@SpaceInvestor_D</t>
        </is>
      </c>
      <c r="C25" s="20" t="inlineStr">
        <is>
          <t>@SpaceInvestor_D</t>
        </is>
      </c>
      <c r="D25" s="27" t="n">
        <v>0.3012181616832781</v>
      </c>
      <c r="E25" s="37" t="n"/>
      <c r="F25" s="37" t="n"/>
      <c r="G25" s="37" t="n"/>
      <c r="H25" s="37" t="n"/>
      <c r="I25" s="37" t="n"/>
      <c r="J25" s="37" t="n"/>
      <c r="K25" s="37" t="n"/>
      <c r="L25" s="37" t="n"/>
      <c r="M25" s="37" t="n"/>
      <c r="N25" s="37" t="n"/>
      <c r="O25" s="37" t="n"/>
      <c r="P25" s="37" t="n"/>
    </row>
    <row r="27">
      <c r="A27" s="37" t="inlineStr">
        <is>
          <t>Memely Thematic Ranking (YTD 2026/02/07)</t>
        </is>
      </c>
      <c r="B27" s="37" t="n"/>
      <c r="C27" s="37" t="n"/>
      <c r="D27" s="23" t="n"/>
    </row>
    <row r="28">
      <c r="A28" s="37" t="inlineStr">
        <is>
          <t>Symbol</t>
        </is>
      </c>
      <c r="B28" s="37" t="inlineStr">
        <is>
          <t>first call X kol</t>
        </is>
      </c>
      <c r="C28" s="37" t="inlineStr">
        <is>
          <t>top contributor</t>
        </is>
      </c>
      <c r="D28" s="27" t="inlineStr">
        <is>
          <t>performance Year to Date</t>
        </is>
      </c>
    </row>
    <row r="29">
      <c r="A29" s="37" t="inlineStr">
        <is>
          <t>PSRHF</t>
        </is>
      </c>
      <c r="B29" s="23" t="inlineStr">
        <is>
          <t>@Minnvestor</t>
        </is>
      </c>
      <c r="C29" s="37" t="inlineStr">
        <is>
          <t>@Share_Talk</t>
        </is>
      </c>
      <c r="D29" s="27" t="n">
        <v>1.032258064516129</v>
      </c>
    </row>
    <row r="30">
      <c r="A30" s="37" t="inlineStr">
        <is>
          <t>GDRZF</t>
        </is>
      </c>
      <c r="B30" s="37" t="inlineStr">
        <is>
          <t>@LionelHutz_Esq</t>
        </is>
      </c>
      <c r="C30" s="37" t="inlineStr">
        <is>
          <t>@aleabitoreddit</t>
        </is>
      </c>
      <c r="D30" s="27" t="n">
        <v>0.7916666666666665</v>
      </c>
    </row>
    <row r="31">
      <c r="A31" s="37" t="inlineStr">
        <is>
          <t>CPSH</t>
        </is>
      </c>
      <c r="B31" s="37" t="inlineStr">
        <is>
          <t>@StockRocket1</t>
        </is>
      </c>
      <c r="C31" s="37" t="inlineStr">
        <is>
          <t>@StockRocket1</t>
        </is>
      </c>
      <c r="D31" s="27" t="n">
        <v>0.5937499999999998</v>
      </c>
    </row>
    <row r="32">
      <c r="A32" s="37" t="inlineStr">
        <is>
          <t>ASTI</t>
        </is>
      </c>
      <c r="B32" s="37" t="inlineStr">
        <is>
          <t>@YeahDrDave</t>
        </is>
      </c>
      <c r="C32" s="37" t="inlineStr">
        <is>
          <t>@Reformed_Trader</t>
        </is>
      </c>
      <c r="D32" s="27" t="n">
        <v>0.5467980295566504</v>
      </c>
    </row>
    <row r="33">
      <c r="A33" s="37" t="inlineStr">
        <is>
          <t>UAMY</t>
        </is>
      </c>
      <c r="B33" s="37" t="inlineStr">
        <is>
          <t>@USAC_Bull</t>
        </is>
      </c>
      <c r="C33" s="37" t="inlineStr">
        <is>
          <t>@USAC_Bull</t>
        </is>
      </c>
      <c r="D33" s="27" t="n">
        <v>0.4519392917369309</v>
      </c>
    </row>
    <row r="34">
      <c r="A34" s="37" t="inlineStr">
        <is>
          <t>AXTI</t>
        </is>
      </c>
      <c r="B34" s="37" t="inlineStr">
        <is>
          <t>@YieldCurveBalI</t>
        </is>
      </c>
      <c r="C34" s="37" t="inlineStr">
        <is>
          <t>@aleabitoreddit</t>
        </is>
      </c>
      <c r="D34" s="27" t="n">
        <v>0.435560859188544</v>
      </c>
    </row>
    <row r="35">
      <c r="A35" s="37" t="inlineStr">
        <is>
          <t>VPG</t>
        </is>
      </c>
      <c r="B35" s="37" t="inlineStr">
        <is>
          <t>@EricTheUmpire</t>
        </is>
      </c>
      <c r="C35" s="37" t="inlineStr">
        <is>
          <t>@ThematicTrader</t>
        </is>
      </c>
      <c r="D35" s="27" t="n">
        <v>0.4251527494908349</v>
      </c>
    </row>
    <row r="36">
      <c r="A36" s="37" t="inlineStr">
        <is>
          <t>AMPX</t>
        </is>
      </c>
      <c r="B36" s="23" t="inlineStr">
        <is>
          <t>@DekmarTrades</t>
        </is>
      </c>
      <c r="C36" s="37" t="inlineStr">
        <is>
          <t>@pennycheck</t>
        </is>
      </c>
      <c r="D36" s="27" t="n">
        <v>0.4004576659038901</v>
      </c>
    </row>
    <row r="37">
      <c r="A37" s="37" t="inlineStr">
        <is>
          <t>ACMR</t>
        </is>
      </c>
      <c r="B37" s="23" t="inlineStr">
        <is>
          <t>@TheTechInvest</t>
        </is>
      </c>
      <c r="C37" s="37" t="inlineStr">
        <is>
          <t>@TheBenSchmark</t>
        </is>
      </c>
      <c r="D37" s="27" t="n">
        <v>0.392156862745098</v>
      </c>
    </row>
    <row r="38">
      <c r="A38" s="37" t="inlineStr">
        <is>
          <t>SHMD</t>
        </is>
      </c>
      <c r="B38" s="23" t="inlineStr">
        <is>
          <t>@Mike10947310</t>
        </is>
      </c>
      <c r="C38" s="37" t="inlineStr">
        <is>
          <t>@Mike10947310</t>
        </is>
      </c>
      <c r="D38" s="27" t="n">
        <v>0.3893333333333333</v>
      </c>
    </row>
    <row r="40">
      <c r="A40" s="37" t="inlineStr">
        <is>
          <t>Memely Thematic Ranking (YTD 2026/02/14)</t>
        </is>
      </c>
      <c r="B40" s="37" t="n"/>
      <c r="C40" s="37" t="n"/>
      <c r="D40" s="23" t="n"/>
    </row>
    <row r="41">
      <c r="B41" s="23" t="inlineStr">
        <is>
          <t>first call X kol</t>
        </is>
      </c>
      <c r="C41" s="23" t="inlineStr">
        <is>
          <t>top contributor</t>
        </is>
      </c>
      <c r="D41" s="23" t="inlineStr">
        <is>
          <t>performance</t>
        </is>
      </c>
    </row>
    <row r="42">
      <c r="A42" s="23" t="inlineStr">
        <is>
          <t>ICHR</t>
        </is>
      </c>
      <c r="B42" s="23" t="inlineStr">
        <is>
          <t>https://x.com/TheValueist</t>
        </is>
      </c>
      <c r="C42" s="23" t="inlineStr">
        <is>
          <t>https://x.com/TheValueist</t>
        </is>
      </c>
      <c r="D42" s="26" t="n">
        <v>1.291523762861343</v>
      </c>
    </row>
    <row r="43">
      <c r="A43" s="23" t="inlineStr">
        <is>
          <t>PSRHF</t>
        </is>
      </c>
      <c r="B43" s="23" t="inlineStr">
        <is>
          <t>https://x.com/Minnvestor</t>
        </is>
      </c>
      <c r="C43" s="23" t="inlineStr">
        <is>
          <t>https://x.com/Share_Talk</t>
        </is>
      </c>
      <c r="D43" s="26" t="n">
        <v>1.274193548387097</v>
      </c>
    </row>
    <row r="44">
      <c r="A44" s="23" t="inlineStr">
        <is>
          <t>GDRZF</t>
        </is>
      </c>
      <c r="B44" s="23" t="inlineStr">
        <is>
          <t>https://x.com/LionelHutz_Esq</t>
        </is>
      </c>
      <c r="C44" s="23" t="inlineStr">
        <is>
          <t>https://x.com/aleabitoreddit</t>
        </is>
      </c>
      <c r="D44" s="26" t="n">
        <v>1.190476190476191</v>
      </c>
    </row>
    <row r="45">
      <c r="A45" s="23" t="inlineStr">
        <is>
          <t>IPGP</t>
        </is>
      </c>
      <c r="B45" s="23" t="inlineStr">
        <is>
          <t>https://x.com/ascharya108</t>
        </is>
      </c>
      <c r="C45" s="23" t="inlineStr">
        <is>
          <t>https://x.com/BlackScholesMan</t>
        </is>
      </c>
      <c r="D45" s="26" t="n">
        <v>1.056520577231427</v>
      </c>
    </row>
    <row r="46">
      <c r="A46" s="23" t="inlineStr">
        <is>
          <t>UCTT</t>
        </is>
      </c>
      <c r="B46" s="23" t="inlineStr">
        <is>
          <t>https://x.com/Clayhams1</t>
        </is>
      </c>
      <c r="C46" s="23" t="inlineStr">
        <is>
          <t>https://x.com/DeNebulord</t>
        </is>
      </c>
      <c r="D46" s="26" t="n">
        <v>1.030380673499268</v>
      </c>
    </row>
    <row r="47">
      <c r="A47" s="23" t="inlineStr">
        <is>
          <t>SOLS</t>
        </is>
      </c>
      <c r="B47" s="23" t="inlineStr">
        <is>
          <t>https://x.com/MNTonX</t>
        </is>
      </c>
      <c r="C47" s="23" t="inlineStr">
        <is>
          <t>https://x.com/tradergokux</t>
        </is>
      </c>
      <c r="D47" s="26" t="n">
        <v>0.5872564935064934</v>
      </c>
    </row>
    <row r="48">
      <c r="A48" s="23" t="inlineStr">
        <is>
          <t>SKM</t>
        </is>
      </c>
      <c r="B48" s="23" t="inlineStr">
        <is>
          <t>https://x.com/tamsa00700</t>
        </is>
      </c>
      <c r="C48" s="23" t="inlineStr">
        <is>
          <t>https://x.com/MapleLeafCap</t>
        </is>
      </c>
      <c r="D48" s="26" t="n">
        <v>0.5844282238442824</v>
      </c>
    </row>
    <row r="49">
      <c r="A49" s="23" t="inlineStr">
        <is>
          <t>ASTI</t>
        </is>
      </c>
      <c r="B49" s="23" t="inlineStr">
        <is>
          <t>https://x.com/YeahDrDave</t>
        </is>
      </c>
      <c r="C49" s="23" t="inlineStr">
        <is>
          <t>https://x.com/Reformed_Trader</t>
        </is>
      </c>
      <c r="D49" s="26" t="n">
        <v>0.5344827586206899</v>
      </c>
    </row>
    <row r="50">
      <c r="A50" s="23" t="inlineStr">
        <is>
          <t>KLIC</t>
        </is>
      </c>
      <c r="B50" s="23" t="inlineStr">
        <is>
          <t>https://x.com/equityclimb1</t>
        </is>
      </c>
      <c r="C50" s="23" t="inlineStr">
        <is>
          <t>https://x.com/TheValueist</t>
        </is>
      </c>
      <c r="D50" s="26" t="n">
        <v>0.4812823164426061</v>
      </c>
    </row>
    <row r="51">
      <c r="A51" s="23" t="inlineStr">
        <is>
          <t>CPSH</t>
        </is>
      </c>
      <c r="B51" s="23" t="inlineStr">
        <is>
          <t>https://x.com/StockRocket1</t>
        </is>
      </c>
      <c r="C51" s="23" t="inlineStr">
        <is>
          <t>https://x.com/StockRocket1</t>
        </is>
      </c>
      <c r="D51" s="26" t="n">
        <v>0.46875</v>
      </c>
    </row>
    <row r="53">
      <c r="A53" s="37" t="inlineStr">
        <is>
          <t>Memely Thematic Ranking (YTD 2026/02/21)</t>
        </is>
      </c>
      <c r="B53" s="23" t="n"/>
      <c r="C53" s="23" t="n"/>
      <c r="D53" s="23" t="n"/>
    </row>
    <row r="54">
      <c r="B54" s="23" t="inlineStr">
        <is>
          <t>first call X kol</t>
        </is>
      </c>
      <c r="C54" s="23" t="inlineStr">
        <is>
          <t>top contributor</t>
        </is>
      </c>
      <c r="D54" s="23" t="inlineStr">
        <is>
          <t>performance</t>
        </is>
      </c>
    </row>
    <row r="55">
      <c r="A55" s="23" t="inlineStr">
        <is>
          <t>ATOM</t>
        </is>
      </c>
      <c r="B55" s="4" t="inlineStr">
        <is>
          <t>@Analytica_X</t>
        </is>
      </c>
      <c r="C55" s="4" t="inlineStr">
        <is>
          <t>@Thebullwhisper</t>
        </is>
      </c>
      <c r="D55" s="26">
        <f>IFERROR(__xludf.DUMMYFUNCTION("(GOOGLEFINANCE(A55, ""price"") / INDEX(GOOGLEFINANCE(A55, ""close"", DATE(YEAR(TODAY()), 1, 1), TODAY()), 2, 2)) - 1"),0.9491525423728813)</f>
        <v/>
      </c>
    </row>
    <row r="56">
      <c r="A56" s="23" t="inlineStr">
        <is>
          <t>ICHR</t>
        </is>
      </c>
      <c r="B56" s="4" t="inlineStr">
        <is>
          <t>@TheValueist</t>
        </is>
      </c>
      <c r="C56" s="4" t="inlineStr">
        <is>
          <t>@TheValueist</t>
        </is>
      </c>
      <c r="D56" s="26">
        <f>IFERROR(__xludf.DUMMYFUNCTION("(GOOGLEFINANCE(A56, ""price"") / INDEX(GOOGLEFINANCE(A56, ""close"", DATE(YEAR(TODAY()), 1, 1), TODAY()), 2, 2)) - 1"),1.0298873101420871)</f>
        <v/>
      </c>
    </row>
    <row r="57">
      <c r="A57" s="23" t="inlineStr">
        <is>
          <t>UCTT</t>
        </is>
      </c>
      <c r="B57" s="4" t="inlineStr">
        <is>
          <t>@Clayhams1</t>
        </is>
      </c>
      <c r="C57" s="4" t="inlineStr">
        <is>
          <t>@DeNebulord</t>
        </is>
      </c>
      <c r="D57" s="26">
        <f>IFERROR(__xludf.DUMMYFUNCTION("(GOOGLEFINANCE(A57, ""price"") / INDEX(GOOGLEFINANCE(A57, ""close"", DATE(YEAR(TODAY()), 1, 1), TODAY()), 2, 2)) - 1"),1.01207906295754)</f>
        <v/>
      </c>
    </row>
    <row r="58">
      <c r="A58" s="23" t="inlineStr">
        <is>
          <t>PSRHF</t>
        </is>
      </c>
      <c r="B58" s="4" t="inlineStr">
        <is>
          <t>@Minnvestor</t>
        </is>
      </c>
      <c r="C58" s="4" t="inlineStr">
        <is>
          <t>@Share_Talk</t>
        </is>
      </c>
      <c r="D58" s="26">
        <f>IFERROR(__xludf.DUMMYFUNCTION("(GOOGLEFINANCE(A58, ""price"") / INDEX(GOOGLEFINANCE(A58, ""close"", DATE(YEAR(TODAY()), 1, 1), TODAY()), 2, 2)) - 1"),1.1935483870967745)</f>
        <v/>
      </c>
    </row>
    <row r="59">
      <c r="A59" s="23" t="inlineStr">
        <is>
          <t>IPGP</t>
        </is>
      </c>
      <c r="B59" s="4" t="inlineStr">
        <is>
          <t>@ascharya108</t>
        </is>
      </c>
      <c r="C59" s="4" t="inlineStr">
        <is>
          <t>@BlackScholesMan</t>
        </is>
      </c>
      <c r="D59" s="26">
        <f>IFERROR(__xludf.DUMMYFUNCTION("(GOOGLEFINANCE(A59, ""price"") / INDEX(GOOGLEFINANCE(A59, ""close"", DATE(YEAR(TODAY()), 1, 1), TODAY()), 2, 2)) - 1"),0.48249599144842326)</f>
        <v/>
      </c>
    </row>
    <row r="60">
      <c r="A60" s="23" t="inlineStr">
        <is>
          <t>FSLY</t>
        </is>
      </c>
      <c r="B60" s="4" t="inlineStr">
        <is>
          <t>@Analytica_X</t>
        </is>
      </c>
      <c r="C60" s="4" t="inlineStr">
        <is>
          <t>@adudetrading</t>
        </is>
      </c>
      <c r="D60" s="26">
        <f>IFERROR(__xludf.DUMMYFUNCTION("(GOOGLEFINANCE(A60, ""price"") / INDEX(GOOGLEFINANCE(A60, ""close"", DATE(YEAR(TODAY()), 1, 1), TODAY()), 2, 2)) - 1"),1.4121687929342492)</f>
        <v/>
      </c>
    </row>
    <row r="61">
      <c r="A61" s="23" t="inlineStr">
        <is>
          <t>AXTI</t>
        </is>
      </c>
      <c r="B61" s="4" t="inlineStr">
        <is>
          <t>@YieldCurveBalI</t>
        </is>
      </c>
      <c r="C61" s="4" t="inlineStr">
        <is>
          <t>@aleabitoreddit</t>
        </is>
      </c>
      <c r="D61" s="26">
        <f>IFERROR(__xludf.DUMMYFUNCTION("(GOOGLEFINANCE(A61, ""price"") / INDEX(GOOGLEFINANCE(A61, ""close"", DATE(YEAR(TODAY()), 1, 1), TODAY()), 2, 2)) - 1"),1.9152744630071594)</f>
        <v/>
      </c>
    </row>
    <row r="62">
      <c r="A62" s="23" t="inlineStr">
        <is>
          <t>SOLS</t>
        </is>
      </c>
      <c r="B62" s="4" t="inlineStr">
        <is>
          <t>@MNTonX</t>
        </is>
      </c>
      <c r="C62" s="4" t="inlineStr">
        <is>
          <t>@tradergokux</t>
        </is>
      </c>
      <c r="D62" s="26">
        <f>IFERROR(__xludf.DUMMYFUNCTION("(GOOGLEFINANCE(A62, ""price"") / INDEX(GOOGLEFINANCE(A62, ""close"", DATE(YEAR(TODAY()), 1, 1), TODAY()), 2, 2)) - 1"),0.4857954545454546)</f>
        <v/>
      </c>
    </row>
    <row r="63">
      <c r="A63" s="23" t="inlineStr">
        <is>
          <t>SKM</t>
        </is>
      </c>
      <c r="B63" s="4" t="inlineStr">
        <is>
          <t>@tamsa00700</t>
        </is>
      </c>
      <c r="C63" s="4" t="inlineStr">
        <is>
          <t>@MapleLeafCap</t>
        </is>
      </c>
      <c r="D63" s="26">
        <f>IFERROR(__xludf.DUMMYFUNCTION("(GOOGLEFINANCE(A63, ""price"") / INDEX(GOOGLEFINANCE(A63, ""close"", DATE(YEAR(TODAY()), 1, 1), TODAY()), 2, 2)) - 1"),0.36593673965936735)</f>
        <v/>
      </c>
    </row>
    <row r="64">
      <c r="A64" s="23" t="inlineStr">
        <is>
          <t>AEHR</t>
        </is>
      </c>
      <c r="B64" s="23" t="inlineStr">
        <is>
          <t>@SunvMikey</t>
        </is>
      </c>
      <c r="C64" s="23" t="inlineStr">
        <is>
          <t>@SunvMikey</t>
        </is>
      </c>
      <c r="D64" s="26" t="n">
        <v>0.5162454873646209</v>
      </c>
    </row>
    <row r="66">
      <c r="A66" s="37" t="inlineStr">
        <is>
          <t>Memely Thematic Ranking (YTD 2026/02/28)</t>
        </is>
      </c>
    </row>
    <row r="67">
      <c r="B67" s="23" t="inlineStr">
        <is>
          <t>first call X kol</t>
        </is>
      </c>
      <c r="C67" s="23" t="inlineStr">
        <is>
          <t>top contributor</t>
        </is>
      </c>
      <c r="D67" s="23" t="inlineStr">
        <is>
          <t>performance</t>
        </is>
      </c>
    </row>
    <row r="68">
      <c r="A68" s="23" t="inlineStr">
        <is>
          <t>GDRZF</t>
        </is>
      </c>
      <c r="B68" s="23" t="inlineStr">
        <is>
          <t>https://x.com/LionelHutz_Esq</t>
        </is>
      </c>
      <c r="C68" s="23" t="inlineStr">
        <is>
          <t>https://x.com/aleabitoreddit</t>
        </is>
      </c>
      <c r="D68" s="26" t="n">
        <v>1.351190476190476</v>
      </c>
    </row>
    <row r="69">
      <c r="A69" s="23" t="inlineStr">
        <is>
          <t>ICHR</t>
        </is>
      </c>
      <c r="B69" s="23" t="inlineStr">
        <is>
          <t>https://x.com/TheValueist</t>
        </is>
      </c>
      <c r="C69" s="23" t="inlineStr">
        <is>
          <t>https://x.com/TheValueist</t>
        </is>
      </c>
      <c r="D69" s="26" t="n">
        <v>1.329740323370896</v>
      </c>
    </row>
    <row r="70">
      <c r="A70" s="23" t="inlineStr">
        <is>
          <t>AXTI</t>
        </is>
      </c>
      <c r="B70" s="23" t="inlineStr">
        <is>
          <t>https://x.com/YieldCurveBalI</t>
        </is>
      </c>
      <c r="C70" s="23" t="inlineStr">
        <is>
          <t>https://x.com/aleabitoreddit</t>
        </is>
      </c>
      <c r="D70" s="26" t="n">
        <v>1.261336515513126</v>
      </c>
    </row>
    <row r="71">
      <c r="A71" s="23" t="inlineStr">
        <is>
          <t>UCTT</t>
        </is>
      </c>
      <c r="B71" s="23" t="inlineStr">
        <is>
          <t>https://x.com/Clayhams1</t>
        </is>
      </c>
      <c r="C71" s="23" t="inlineStr">
        <is>
          <t>https://x.com/DeNebulord</t>
        </is>
      </c>
      <c r="D71" s="26" t="n">
        <v>1.22108345534407</v>
      </c>
    </row>
    <row r="72">
      <c r="A72" s="23" t="inlineStr">
        <is>
          <t>ATOM</t>
        </is>
      </c>
      <c r="B72" s="23" t="inlineStr">
        <is>
          <t>https://x.com/Analytica_X</t>
        </is>
      </c>
      <c r="C72" s="23" t="inlineStr">
        <is>
          <t>https://x.com/Thebullwhisper</t>
        </is>
      </c>
      <c r="D72" s="26" t="n">
        <v>1.135593220338983</v>
      </c>
    </row>
    <row r="73">
      <c r="A73" s="23" t="inlineStr">
        <is>
          <t>AAOI</t>
        </is>
      </c>
      <c r="B73" s="23" t="inlineStr">
        <is>
          <t>https://x.com/Venu_7_</t>
        </is>
      </c>
      <c r="C73" s="23" t="inlineStr">
        <is>
          <t>https://x.com/crux_capital_</t>
        </is>
      </c>
      <c r="D73" s="26" t="n">
        <v>1.127020202020202</v>
      </c>
    </row>
    <row r="74">
      <c r="A74" s="23" t="inlineStr">
        <is>
          <t>ALM</t>
        </is>
      </c>
      <c r="B74" s="5" t="inlineStr">
        <is>
          <t>https://x.com/Alexsei88</t>
        </is>
      </c>
      <c r="C74" s="5" t="inlineStr">
        <is>
          <t>https://x.com/Alexsei88</t>
        </is>
      </c>
      <c r="D74" s="26" t="n">
        <v>1.089772727272727</v>
      </c>
    </row>
    <row r="75">
      <c r="A75" s="23" t="inlineStr">
        <is>
          <t>FSLY</t>
        </is>
      </c>
      <c r="B75" s="23" t="inlineStr">
        <is>
          <t>https://x.com/Analytica_X</t>
        </is>
      </c>
      <c r="C75" s="23" t="inlineStr">
        <is>
          <t>https://x.com/adudetrading</t>
        </is>
      </c>
      <c r="D75" s="26" t="n">
        <v>0.8763493621197254</v>
      </c>
    </row>
    <row r="76">
      <c r="A76" s="23" t="inlineStr">
        <is>
          <t>PSRHF</t>
        </is>
      </c>
      <c r="B76" s="23" t="inlineStr">
        <is>
          <t>https://x.com/Minnvestor</t>
        </is>
      </c>
      <c r="C76" s="23" t="inlineStr">
        <is>
          <t>https://x.com/Share_Talk</t>
        </is>
      </c>
      <c r="D76" s="26" t="n">
        <v>0.7903225806451615</v>
      </c>
    </row>
    <row r="77">
      <c r="A77" s="23" t="inlineStr">
        <is>
          <t>IPGP</t>
        </is>
      </c>
      <c r="B77" s="4" t="inlineStr">
        <is>
          <t>https://x.com/ascharya108</t>
        </is>
      </c>
      <c r="C77" s="23" t="inlineStr">
        <is>
          <t>https://x.com/BlackScholesMan</t>
        </is>
      </c>
      <c r="D77" s="26" t="n">
        <v>0.7580171031533938</v>
      </c>
    </row>
    <row r="79">
      <c r="A79" s="37" t="inlineStr">
        <is>
          <t>Memely Thematic Ranking (YTD 2026/03/07)</t>
        </is>
      </c>
    </row>
    <row r="80">
      <c r="B80" s="23" t="inlineStr">
        <is>
          <t>first call X kol</t>
        </is>
      </c>
      <c r="C80" s="23" t="inlineStr">
        <is>
          <t>top contributor</t>
        </is>
      </c>
      <c r="D80" s="23" t="inlineStr">
        <is>
          <t>performance</t>
        </is>
      </c>
    </row>
    <row r="81">
      <c r="A81" s="23" t="inlineStr">
        <is>
          <t>GDRZF</t>
        </is>
      </c>
      <c r="B81" s="23" t="inlineStr">
        <is>
          <t>https://x.com/LionelHutz_Esq</t>
        </is>
      </c>
      <c r="C81" s="23" t="inlineStr">
        <is>
          <t>https://x.com/aleabitoreddit</t>
        </is>
      </c>
      <c r="D81" s="26" t="n">
        <v>1.916666666666667</v>
      </c>
    </row>
    <row r="82">
      <c r="A82" s="23" t="inlineStr">
        <is>
          <t>AAOI</t>
        </is>
      </c>
      <c r="B82" s="23" t="inlineStr">
        <is>
          <t>https://x.com/Venu_7_</t>
        </is>
      </c>
      <c r="C82" s="23" t="inlineStr">
        <is>
          <t>https://x.com/crux_capital_</t>
        </is>
      </c>
      <c r="D82" s="26" t="n">
        <v>1.413636363636364</v>
      </c>
    </row>
    <row r="83">
      <c r="A83" s="23" t="inlineStr">
        <is>
          <t>ALM</t>
        </is>
      </c>
      <c r="B83" s="23" t="inlineStr">
        <is>
          <t>https://x.com/Alexsei88</t>
        </is>
      </c>
      <c r="C83" s="23" t="inlineStr">
        <is>
          <t>https://x.com/Alexsei88</t>
        </is>
      </c>
      <c r="D83" s="26" t="n">
        <v>1.127272727272727</v>
      </c>
    </row>
    <row r="84">
      <c r="A84" s="23" t="inlineStr">
        <is>
          <t>PSRHF</t>
        </is>
      </c>
      <c r="B84" s="23" t="inlineStr">
        <is>
          <t>https://x.com/Minnvestor</t>
        </is>
      </c>
      <c r="C84" s="23" t="inlineStr">
        <is>
          <t>https://x.com/Share_Talk</t>
        </is>
      </c>
      <c r="D84" s="26" t="n">
        <v>0.9838709677419355</v>
      </c>
    </row>
    <row r="85">
      <c r="A85" s="23" t="inlineStr">
        <is>
          <t>FSLY</t>
        </is>
      </c>
      <c r="B85" s="23" t="inlineStr">
        <is>
          <t>https://x.com/Analytica_X</t>
        </is>
      </c>
      <c r="C85" s="23" t="inlineStr">
        <is>
          <t>https://x.com/adudetrading</t>
        </is>
      </c>
      <c r="D85" s="26" t="n">
        <v>0.9764474975466144</v>
      </c>
    </row>
    <row r="86">
      <c r="A86" s="23" t="inlineStr">
        <is>
          <t>ICHR</t>
        </is>
      </c>
      <c r="B86" s="23" t="inlineStr">
        <is>
          <t>https://x.com/TheValueist</t>
        </is>
      </c>
      <c r="C86" s="23" t="inlineStr">
        <is>
          <t>https://x.com/TheValueist</t>
        </is>
      </c>
      <c r="D86" s="26" t="n">
        <v>0.9608035276825087</v>
      </c>
    </row>
    <row r="87">
      <c r="A87" s="23" t="inlineStr">
        <is>
          <t>AXTI</t>
        </is>
      </c>
      <c r="B87" s="23" t="inlineStr">
        <is>
          <t>https://x.com/YieldCurveBalI</t>
        </is>
      </c>
      <c r="C87" s="23" t="inlineStr">
        <is>
          <t>https://x.com/aleabitoreddit</t>
        </is>
      </c>
      <c r="D87" s="26" t="n">
        <v>0.9313842482100236</v>
      </c>
    </row>
    <row r="88">
      <c r="A88" s="23" t="inlineStr">
        <is>
          <t>ATOM</t>
        </is>
      </c>
      <c r="B88" s="23" t="inlineStr">
        <is>
          <t>https://x.com/Analytica_X</t>
        </is>
      </c>
      <c r="C88" s="23" t="inlineStr">
        <is>
          <t>https://x.com/Thebullwhisper</t>
        </is>
      </c>
      <c r="D88" s="26" t="n">
        <v>0.9237288135593222</v>
      </c>
    </row>
    <row r="89">
      <c r="A89" s="23" t="inlineStr">
        <is>
          <t>AMPX</t>
        </is>
      </c>
      <c r="B89" s="23" t="inlineStr">
        <is>
          <t>https://x.com/DekmarTrades</t>
        </is>
      </c>
      <c r="C89" s="23" t="inlineStr">
        <is>
          <t>https://x.com/pennycheck</t>
        </is>
      </c>
      <c r="D89" s="26" t="n">
        <v>0.8684210526315788</v>
      </c>
    </row>
    <row r="90">
      <c r="A90" s="23" t="inlineStr">
        <is>
          <t>UCTT</t>
        </is>
      </c>
      <c r="B90" s="23" t="inlineStr">
        <is>
          <t>https://x.com/Clayhams1</t>
        </is>
      </c>
      <c r="C90" s="23" t="inlineStr">
        <is>
          <t>https://x.com/DeNebulord</t>
        </is>
      </c>
      <c r="D90" s="26" t="n">
        <v>0.8506588579795022</v>
      </c>
    </row>
  </sheetData>
  <hyperlinks>
    <hyperlink xmlns:r="http://schemas.openxmlformats.org/officeDocument/2006/relationships" ref="B3" r:id="rId1"/>
    <hyperlink xmlns:r="http://schemas.openxmlformats.org/officeDocument/2006/relationships" ref="C3" r:id="rId2"/>
    <hyperlink xmlns:r="http://schemas.openxmlformats.org/officeDocument/2006/relationships" ref="B4" r:id="rId3"/>
    <hyperlink xmlns:r="http://schemas.openxmlformats.org/officeDocument/2006/relationships" ref="C4" r:id="rId4"/>
    <hyperlink xmlns:r="http://schemas.openxmlformats.org/officeDocument/2006/relationships" ref="B5" r:id="rId5"/>
    <hyperlink xmlns:r="http://schemas.openxmlformats.org/officeDocument/2006/relationships" ref="C5" r:id="rId6"/>
    <hyperlink xmlns:r="http://schemas.openxmlformats.org/officeDocument/2006/relationships" ref="B6" r:id="rId7"/>
    <hyperlink xmlns:r="http://schemas.openxmlformats.org/officeDocument/2006/relationships" ref="C6" r:id="rId8"/>
    <hyperlink xmlns:r="http://schemas.openxmlformats.org/officeDocument/2006/relationships" ref="B7" r:id="rId9"/>
    <hyperlink xmlns:r="http://schemas.openxmlformats.org/officeDocument/2006/relationships" ref="C7" r:id="rId10"/>
    <hyperlink xmlns:r="http://schemas.openxmlformats.org/officeDocument/2006/relationships" ref="B8" r:id="rId11"/>
    <hyperlink xmlns:r="http://schemas.openxmlformats.org/officeDocument/2006/relationships" ref="C8" r:id="rId12"/>
    <hyperlink xmlns:r="http://schemas.openxmlformats.org/officeDocument/2006/relationships" ref="B9" r:id="rId13"/>
    <hyperlink xmlns:r="http://schemas.openxmlformats.org/officeDocument/2006/relationships" ref="C9" r:id="rId14"/>
    <hyperlink xmlns:r="http://schemas.openxmlformats.org/officeDocument/2006/relationships" ref="B10" r:id="rId15"/>
    <hyperlink xmlns:r="http://schemas.openxmlformats.org/officeDocument/2006/relationships" ref="C10" r:id="rId16"/>
    <hyperlink xmlns:r="http://schemas.openxmlformats.org/officeDocument/2006/relationships" ref="B11" r:id="rId17"/>
    <hyperlink xmlns:r="http://schemas.openxmlformats.org/officeDocument/2006/relationships" ref="C11" r:id="rId18"/>
    <hyperlink xmlns:r="http://schemas.openxmlformats.org/officeDocument/2006/relationships" ref="B12" r:id="rId19"/>
    <hyperlink xmlns:r="http://schemas.openxmlformats.org/officeDocument/2006/relationships" ref="C12" r:id="rId20"/>
    <hyperlink xmlns:r="http://schemas.openxmlformats.org/officeDocument/2006/relationships" ref="B16" r:id="rId21"/>
    <hyperlink xmlns:r="http://schemas.openxmlformats.org/officeDocument/2006/relationships" ref="C16" r:id="rId22"/>
    <hyperlink xmlns:r="http://schemas.openxmlformats.org/officeDocument/2006/relationships" ref="B17" r:id="rId23"/>
    <hyperlink xmlns:r="http://schemas.openxmlformats.org/officeDocument/2006/relationships" ref="C17" r:id="rId24"/>
    <hyperlink xmlns:r="http://schemas.openxmlformats.org/officeDocument/2006/relationships" ref="B18" r:id="rId25"/>
    <hyperlink xmlns:r="http://schemas.openxmlformats.org/officeDocument/2006/relationships" ref="C18" r:id="rId26"/>
    <hyperlink xmlns:r="http://schemas.openxmlformats.org/officeDocument/2006/relationships" ref="B19" r:id="rId27"/>
    <hyperlink xmlns:r="http://schemas.openxmlformats.org/officeDocument/2006/relationships" ref="C19" r:id="rId28"/>
    <hyperlink xmlns:r="http://schemas.openxmlformats.org/officeDocument/2006/relationships" ref="B20" r:id="rId29"/>
    <hyperlink xmlns:r="http://schemas.openxmlformats.org/officeDocument/2006/relationships" ref="C20" r:id="rId30"/>
    <hyperlink xmlns:r="http://schemas.openxmlformats.org/officeDocument/2006/relationships" ref="B21" r:id="rId31"/>
    <hyperlink xmlns:r="http://schemas.openxmlformats.org/officeDocument/2006/relationships" ref="C21" r:id="rId32"/>
    <hyperlink xmlns:r="http://schemas.openxmlformats.org/officeDocument/2006/relationships" ref="B22" r:id="rId33"/>
    <hyperlink xmlns:r="http://schemas.openxmlformats.org/officeDocument/2006/relationships" ref="C22" r:id="rId34"/>
    <hyperlink xmlns:r="http://schemas.openxmlformats.org/officeDocument/2006/relationships" ref="B23" r:id="rId35"/>
    <hyperlink xmlns:r="http://schemas.openxmlformats.org/officeDocument/2006/relationships" ref="C23" r:id="rId36"/>
    <hyperlink xmlns:r="http://schemas.openxmlformats.org/officeDocument/2006/relationships" ref="B24" r:id="rId37"/>
    <hyperlink xmlns:r="http://schemas.openxmlformats.org/officeDocument/2006/relationships" ref="C24" r:id="rId38"/>
    <hyperlink xmlns:r="http://schemas.openxmlformats.org/officeDocument/2006/relationships" ref="B25" r:id="rId39"/>
    <hyperlink xmlns:r="http://schemas.openxmlformats.org/officeDocument/2006/relationships" ref="C25" r:id="rId40"/>
    <hyperlink xmlns:r="http://schemas.openxmlformats.org/officeDocument/2006/relationships" ref="B55" r:id="rId41"/>
    <hyperlink xmlns:r="http://schemas.openxmlformats.org/officeDocument/2006/relationships" ref="C55" r:id="rId42"/>
    <hyperlink xmlns:r="http://schemas.openxmlformats.org/officeDocument/2006/relationships" ref="B56" r:id="rId43"/>
    <hyperlink xmlns:r="http://schemas.openxmlformats.org/officeDocument/2006/relationships" ref="C56" r:id="rId44"/>
    <hyperlink xmlns:r="http://schemas.openxmlformats.org/officeDocument/2006/relationships" ref="B57" r:id="rId45"/>
    <hyperlink xmlns:r="http://schemas.openxmlformats.org/officeDocument/2006/relationships" ref="C57" r:id="rId46"/>
    <hyperlink xmlns:r="http://schemas.openxmlformats.org/officeDocument/2006/relationships" ref="B58" r:id="rId47"/>
    <hyperlink xmlns:r="http://schemas.openxmlformats.org/officeDocument/2006/relationships" ref="C58" r:id="rId48"/>
    <hyperlink xmlns:r="http://schemas.openxmlformats.org/officeDocument/2006/relationships" ref="B59" r:id="rId49"/>
    <hyperlink xmlns:r="http://schemas.openxmlformats.org/officeDocument/2006/relationships" ref="C59" r:id="rId50"/>
    <hyperlink xmlns:r="http://schemas.openxmlformats.org/officeDocument/2006/relationships" ref="B60" r:id="rId51"/>
    <hyperlink xmlns:r="http://schemas.openxmlformats.org/officeDocument/2006/relationships" ref="C60" r:id="rId52"/>
    <hyperlink xmlns:r="http://schemas.openxmlformats.org/officeDocument/2006/relationships" ref="B61" r:id="rId53"/>
    <hyperlink xmlns:r="http://schemas.openxmlformats.org/officeDocument/2006/relationships" ref="C61" r:id="rId54"/>
    <hyperlink xmlns:r="http://schemas.openxmlformats.org/officeDocument/2006/relationships" ref="B62" r:id="rId55"/>
    <hyperlink xmlns:r="http://schemas.openxmlformats.org/officeDocument/2006/relationships" ref="C62" r:id="rId56"/>
    <hyperlink xmlns:r="http://schemas.openxmlformats.org/officeDocument/2006/relationships" ref="B63" r:id="rId57"/>
    <hyperlink xmlns:r="http://schemas.openxmlformats.org/officeDocument/2006/relationships" ref="C63" r:id="rId58"/>
    <hyperlink xmlns:r="http://schemas.openxmlformats.org/officeDocument/2006/relationships" ref="B74" r:id="rId59"/>
    <hyperlink xmlns:r="http://schemas.openxmlformats.org/officeDocument/2006/relationships" ref="C74" r:id="rId60"/>
    <hyperlink xmlns:r="http://schemas.openxmlformats.org/officeDocument/2006/relationships" ref="B77" r:id="rId61"/>
  </hyperlinks>
  <pageMargins left="0.75" right="0.75" top="1" bottom="1" header="0.5" footer="0.5"/>
</worksheet>
</file>

<file path=xl/worksheets/sheet5.xml><?xml version="1.0" encoding="utf-8"?>
<worksheet xmlns="http://schemas.openxmlformats.org/spreadsheetml/2006/main">
  <sheetPr>
    <outlinePr summaryBelow="0" summaryRight="0"/>
    <pageSetUpPr/>
  </sheetPr>
  <dimension ref="A1:AF1005"/>
  <sheetViews>
    <sheetView workbookViewId="0">
      <selection activeCell="A1" sqref="A1"/>
    </sheetView>
  </sheetViews>
  <sheetFormatPr baseColWidth="8" defaultColWidth="12.63" defaultRowHeight="15.75" customHeight="1"/>
  <cols>
    <col width="12" customWidth="1" style="41" min="1" max="1"/>
    <col width="25.5" customWidth="1" style="41" min="2" max="2"/>
    <col width="21.25" customWidth="1" style="41" min="3" max="3"/>
    <col width="18.38" customWidth="1" style="41" min="4" max="4"/>
    <col width="25.25" customWidth="1" style="41" min="5" max="5"/>
    <col width="15.75" customWidth="1" style="41" min="6" max="6"/>
    <col width="15" customWidth="1" style="41" min="27" max="27"/>
    <col width="15" customWidth="1" style="41" min="28" max="28"/>
    <col width="15" customWidth="1" style="41" min="29" max="29"/>
    <col width="15" customWidth="1" style="41" min="30" max="30"/>
    <col width="18" customWidth="1" style="41" min="31" max="31"/>
    <col width="60" customWidth="1" style="41" min="32" max="32"/>
  </cols>
  <sheetData>
    <row r="1">
      <c r="A1" s="29" t="inlineStr">
        <is>
          <t>Symbol</t>
        </is>
      </c>
      <c r="B1" s="29" t="inlineStr">
        <is>
          <t>Sector</t>
        </is>
      </c>
      <c r="C1" s="29" t="inlineStr">
        <is>
          <t>Theme</t>
        </is>
      </c>
      <c r="D1" s="31" t="inlineStr">
        <is>
          <t>Cap Category</t>
        </is>
      </c>
      <c r="E1" s="31" t="inlineStr">
        <is>
          <t>26 W4 Macro/Policy Update</t>
        </is>
      </c>
      <c r="F1" s="31" t="inlineStr">
        <is>
          <t>Comp Map</t>
        </is>
      </c>
      <c r="G1" s="31" t="n"/>
      <c r="H1" s="31" t="n"/>
      <c r="I1" s="31" t="n"/>
      <c r="J1" s="31" t="n"/>
      <c r="K1" s="32" t="inlineStr">
        <is>
          <t>IPO Price</t>
        </is>
      </c>
      <c r="L1" s="32" t="inlineStr">
        <is>
          <t>(% of IPO</t>
        </is>
      </c>
      <c r="M1" s="31" t="n"/>
      <c r="N1" s="31" t="n"/>
      <c r="O1" s="31" t="n"/>
      <c r="P1" s="31" t="n"/>
      <c r="Q1" s="31" t="n"/>
      <c r="R1" s="31" t="n"/>
      <c r="S1" s="31" t="n"/>
      <c r="T1" s="31" t="n"/>
      <c r="U1" s="31" t="n"/>
      <c r="V1" s="31" t="n"/>
      <c r="W1" s="31" t="n"/>
      <c r="X1" s="31" t="n"/>
      <c r="Y1" s="31" t="n"/>
      <c r="Z1" s="31" t="n"/>
      <c r="AA1" s="42" t="inlineStr">
        <is>
          <t>AI Overall Score</t>
        </is>
      </c>
      <c r="AB1" s="42" t="inlineStr">
        <is>
          <t>AI Momentum Score</t>
        </is>
      </c>
      <c r="AC1" s="42" t="inlineStr">
        <is>
          <t>AI Theme Score</t>
        </is>
      </c>
      <c r="AD1" s="42" t="inlineStr">
        <is>
          <t>AI Risk Score</t>
        </is>
      </c>
      <c r="AE1" s="42" t="inlineStr">
        <is>
          <t>AI Social Buzz Score</t>
        </is>
      </c>
      <c r="AF1" s="42" t="inlineStr">
        <is>
          <t>AI Brief Analysis</t>
        </is>
      </c>
    </row>
    <row r="2">
      <c r="A2" s="34" t="inlineStr">
        <is>
          <t>CRML</t>
        </is>
      </c>
      <c r="B2" s="34" t="inlineStr">
        <is>
          <t>Defense &amp; Strategic Resources</t>
        </is>
      </c>
      <c r="C2" s="34" t="inlineStr">
        <is>
          <t>Greenland</t>
        </is>
      </c>
      <c r="K2" s="37" t="n"/>
      <c r="L2" s="37" t="n"/>
      <c r="AA2" s="56" t="n">
        <v>55</v>
      </c>
      <c r="AB2" s="56" t="n">
        <v>55</v>
      </c>
      <c r="AC2" s="56" t="n">
        <v>50</v>
      </c>
      <c r="AD2" s="56" t="n">
        <v>50</v>
      </c>
      <c r="AE2" s="56" t="n">
        <v>55</v>
      </c>
      <c r="AF2" s="57" t="inlineStr">
        <is>
          <t>CRML's defense and Greenland theme is niche but relevant. Modest YTD and weekly performance yield moderate momentum. Social buzz is moderate with KOL backing. Risk is average due to steady performance.</t>
        </is>
      </c>
    </row>
    <row r="3">
      <c r="A3" s="34" t="inlineStr">
        <is>
          <t>GDRZF</t>
        </is>
      </c>
      <c r="B3" s="34" t="n"/>
      <c r="C3" s="34" t="inlineStr">
        <is>
          <t>Venezula</t>
        </is>
      </c>
      <c r="K3" s="37" t="n"/>
      <c r="L3" s="37" t="n"/>
      <c r="AA3" s="56" t="n">
        <v>65</v>
      </c>
      <c r="AB3" s="56" t="n">
        <v>70</v>
      </c>
      <c r="AC3" s="56" t="n">
        <v>40</v>
      </c>
      <c r="AD3" s="56" t="n">
        <v>80</v>
      </c>
      <c r="AE3" s="56" t="n">
        <v>50</v>
      </c>
      <c r="AF3" s="57" t="inlineStr">
        <is>
          <t>GDRZF has strong YTD gains but recent negative momentum. The Venezuela theme is niche but relevant for geopolitical plays. Moderate social buzz from known contributors helps, but volatility and geopolitical risks increase risk.</t>
        </is>
      </c>
    </row>
    <row r="4">
      <c r="A4" s="34" t="inlineStr">
        <is>
          <t>PSRHF</t>
        </is>
      </c>
      <c r="B4" s="34" t="n"/>
      <c r="C4" s="34" t="inlineStr">
        <is>
          <t>Helium 3</t>
        </is>
      </c>
      <c r="K4" s="37" t="n"/>
      <c r="L4" s="37" t="n"/>
      <c r="AA4" s="56" t="n">
        <v>75</v>
      </c>
      <c r="AB4" s="56" t="n">
        <v>85</v>
      </c>
      <c r="AC4" s="56" t="n">
        <v>70</v>
      </c>
      <c r="AD4" s="56" t="n">
        <v>60</v>
      </c>
      <c r="AE4" s="56" t="n">
        <v>55</v>
      </c>
      <c r="AF4" s="57" t="inlineStr">
        <is>
          <t>PSRHF benefits from strong momentum and a niche Helium 3 theme with future potential. Social buzz is good, supporting interest. Moderate risk due to volatility.</t>
        </is>
      </c>
    </row>
    <row r="5">
      <c r="A5" s="34" t="inlineStr">
        <is>
          <t>UAMY</t>
        </is>
      </c>
      <c r="B5" s="34" t="inlineStr">
        <is>
          <t>Defense</t>
        </is>
      </c>
      <c r="C5" s="34" t="inlineStr">
        <is>
          <t>Rare Earth</t>
        </is>
      </c>
      <c r="K5" s="37" t="n"/>
      <c r="L5" s="37" t="n"/>
      <c r="AA5" s="56" t="n">
        <v>65</v>
      </c>
      <c r="AB5" s="56" t="n">
        <v>55</v>
      </c>
      <c r="AC5" s="56" t="n">
        <v>60</v>
      </c>
      <c r="AD5" s="56" t="n">
        <v>60</v>
      </c>
      <c r="AE5" s="56" t="n">
        <v>45</v>
      </c>
      <c r="AF5" s="57" t="inlineStr">
        <is>
          <t>UAMY benefits from a relevant rare earth defense theme and moderate social buzz. Momentum is modest and risk is moderate due to sector volatility.</t>
        </is>
      </c>
    </row>
    <row r="6">
      <c r="A6" s="34" t="inlineStr">
        <is>
          <t>ASTI</t>
        </is>
      </c>
      <c r="B6" s="34" t="n"/>
      <c r="C6" s="34" t="inlineStr">
        <is>
          <t>Aerospace</t>
        </is>
      </c>
      <c r="K6" s="37" t="n"/>
      <c r="L6" s="37" t="n"/>
      <c r="AA6" s="56" t="n">
        <v>50</v>
      </c>
      <c r="AB6" s="56" t="n">
        <v>30</v>
      </c>
      <c r="AC6" s="56" t="n">
        <v>65</v>
      </c>
      <c r="AD6" s="56" t="n">
        <v>70</v>
      </c>
      <c r="AE6" s="56" t="n">
        <v>60</v>
      </c>
      <c r="AF6" s="57" t="inlineStr">
        <is>
          <t>ASTI shows weak momentum with significant recent losses despite aerospace theme relevance. The theme is strong but momentum and risk weigh down the score. Moderate social buzz from KOLs is present but insufficient to offset negatives.</t>
        </is>
      </c>
    </row>
    <row r="7">
      <c r="A7" s="34" t="inlineStr">
        <is>
          <t>RCAT</t>
        </is>
      </c>
      <c r="B7" s="34" t="inlineStr">
        <is>
          <t>Defense</t>
        </is>
      </c>
      <c r="C7" s="34" t="inlineStr">
        <is>
          <t>Drone</t>
        </is>
      </c>
      <c r="K7" s="37" t="n"/>
      <c r="L7" s="37" t="n"/>
      <c r="AA7" s="56" t="n">
        <v>70</v>
      </c>
      <c r="AB7" s="56" t="n">
        <v>75</v>
      </c>
      <c r="AC7" s="56" t="n">
        <v>65</v>
      </c>
      <c r="AD7" s="56" t="n">
        <v>55</v>
      </c>
      <c r="AE7" s="56" t="n">
        <v>50</v>
      </c>
      <c r="AF7" s="57" t="inlineStr">
        <is>
          <t>RCAT has solid momentum and a relevant defense drone theme. Social buzz is moderate, and risk is relatively contained, making it an attractive thematic play.</t>
        </is>
      </c>
    </row>
    <row r="8">
      <c r="A8" s="34" t="inlineStr">
        <is>
          <t>OSS</t>
        </is>
      </c>
      <c r="B8" s="34" t="inlineStr">
        <is>
          <t>Defense</t>
        </is>
      </c>
      <c r="C8" s="34" t="inlineStr">
        <is>
          <t>Defense</t>
        </is>
      </c>
      <c r="K8" s="37" t="n"/>
      <c r="L8" s="37" t="n"/>
      <c r="AA8" s="56" t="n">
        <v>82</v>
      </c>
      <c r="AB8" s="56" t="n">
        <v>80</v>
      </c>
      <c r="AC8" s="56" t="n">
        <v>70</v>
      </c>
      <c r="AD8" s="56" t="n">
        <v>55</v>
      </c>
      <c r="AE8" s="56" t="n">
        <v>70</v>
      </c>
      <c r="AF8" s="57" t="inlineStr">
        <is>
          <t>OSS maintains strong momentum with 13.26% weekly and 48.24% YTD gains in the defense sector. The theme is solid but less niche than drones, with good KOL support. Moderate volatility results in a balanced risk profile.</t>
        </is>
      </c>
    </row>
    <row r="9">
      <c r="A9" s="34" t="inlineStr">
        <is>
          <t>FIGR</t>
        </is>
      </c>
      <c r="B9" s="34" t="inlineStr">
        <is>
          <t>Fintech &amp; Crypto</t>
        </is>
      </c>
      <c r="C9" s="34" t="inlineStr">
        <is>
          <t>RWA</t>
        </is>
      </c>
      <c r="K9" s="37" t="n"/>
      <c r="L9" s="37" t="n"/>
      <c r="AA9" s="56" t="n">
        <v>55</v>
      </c>
      <c r="AB9" s="56" t="n">
        <v>65</v>
      </c>
      <c r="AC9" s="56" t="n">
        <v>75</v>
      </c>
      <c r="AD9" s="56" t="n">
        <v>60</v>
      </c>
      <c r="AE9" s="56" t="n">
        <v>75</v>
      </c>
      <c r="AF9" s="57" t="inlineStr">
        <is>
          <t>FIGR shows strong recent momentum despite negative YTD, with a relevant RWA theme in fintech &amp; crypto. High social buzz from multiple KOLs boosts attractiveness. Risk is moderate given volatility.</t>
        </is>
      </c>
    </row>
    <row r="10">
      <c r="A10" s="34" t="inlineStr">
        <is>
          <t>SKYT</t>
        </is>
      </c>
      <c r="B10" s="34" t="inlineStr">
        <is>
          <t>Defense</t>
        </is>
      </c>
      <c r="C10" s="34" t="inlineStr">
        <is>
          <t>US Chipmaking</t>
        </is>
      </c>
      <c r="K10" s="37" t="n"/>
      <c r="L10" s="37" t="n"/>
    </row>
    <row r="11">
      <c r="A11" s="34" t="inlineStr">
        <is>
          <t>TMC</t>
        </is>
      </c>
      <c r="B11" s="34" t="n"/>
      <c r="C11" s="34" t="inlineStr">
        <is>
          <t>Rare Earth</t>
        </is>
      </c>
      <c r="K11" s="37" t="n"/>
      <c r="L11" s="37" t="n"/>
      <c r="AA11" s="56" t="n">
        <v>38</v>
      </c>
      <c r="AB11" s="56" t="n">
        <v>30</v>
      </c>
      <c r="AC11" s="56" t="n">
        <v>55</v>
      </c>
      <c r="AD11" s="56" t="n">
        <v>70</v>
      </c>
      <c r="AE11" s="56" t="n">
        <v>50</v>
      </c>
      <c r="AF11" s="57" t="inlineStr">
        <is>
          <t>TMC focuses on rare earths, a critical theme for tech and defense but currently underperforming with negative momentum and high risk. Social buzz is modest, limiting overall attractiveness.</t>
        </is>
      </c>
    </row>
    <row r="12">
      <c r="A12" s="34" t="inlineStr">
        <is>
          <t>KTOS</t>
        </is>
      </c>
      <c r="B12" s="34" t="inlineStr">
        <is>
          <t>Defense</t>
        </is>
      </c>
      <c r="C12" s="34" t="inlineStr">
        <is>
          <t>Defense</t>
        </is>
      </c>
      <c r="K12" s="37" t="n"/>
      <c r="L12" s="37" t="n"/>
      <c r="AA12" s="56" t="n">
        <v>50</v>
      </c>
      <c r="AB12" s="56" t="n">
        <v>40</v>
      </c>
      <c r="AC12" s="56" t="n">
        <v>60</v>
      </c>
      <c r="AD12" s="56" t="n">
        <v>70</v>
      </c>
      <c r="AE12" s="56" t="n">
        <v>60</v>
      </c>
      <c r="AF12" s="57" t="inlineStr">
        <is>
          <t>KTOS has a relevant defense theme but weak recent and YTD performance lowers momentum. Strong KOL backing supports social buzz. Elevated volatility increases risk.</t>
        </is>
      </c>
    </row>
    <row r="13">
      <c r="A13" s="34" t="inlineStr">
        <is>
          <t>RDW</t>
        </is>
      </c>
      <c r="B13" s="34" t="inlineStr">
        <is>
          <t>Aerospace</t>
        </is>
      </c>
      <c r="C13" s="34" t="inlineStr">
        <is>
          <t>Aerospace</t>
        </is>
      </c>
      <c r="K13" s="37" t="n"/>
      <c r="L13" s="37" t="n"/>
      <c r="AA13" s="56" t="n">
        <v>60</v>
      </c>
      <c r="AB13" s="56" t="n">
        <v>65</v>
      </c>
      <c r="AC13" s="56" t="n">
        <v>70</v>
      </c>
      <c r="AD13" s="56" t="n">
        <v>50</v>
      </c>
      <c r="AE13" s="56" t="n">
        <v>65</v>
      </c>
      <c r="AF13" s="57" t="inlineStr">
        <is>
          <t>RDW shows decent momentum with strong recent daily gains and moderate YTD performance. Aerospace theme is relevant and supported by active KOLs. Risk remains moderate due to steady performance.</t>
        </is>
      </c>
    </row>
    <row r="14">
      <c r="A14" s="34" t="inlineStr">
        <is>
          <t>ASTS</t>
        </is>
      </c>
      <c r="B14" s="34" t="inlineStr">
        <is>
          <t>Aerospace</t>
        </is>
      </c>
      <c r="C14" s="34" t="inlineStr">
        <is>
          <t>Aerospace</t>
        </is>
      </c>
      <c r="K14" s="37" t="n"/>
      <c r="L14" s="37" t="n"/>
      <c r="AA14" s="56" t="n">
        <v>55</v>
      </c>
      <c r="AB14" s="56" t="n">
        <v>50</v>
      </c>
      <c r="AC14" s="56" t="n">
        <v>70</v>
      </c>
      <c r="AD14" s="56" t="n">
        <v>55</v>
      </c>
      <c r="AE14" s="56" t="n">
        <v>65</v>
      </c>
      <c r="AF14" s="57" t="inlineStr">
        <is>
          <t>ASTS has a solid aerospace theme with moderate YTD gains and recent positive daily performance. Good KOL backing enhances social buzz. Moderate risk due to some volatility.</t>
        </is>
      </c>
    </row>
    <row r="15">
      <c r="A15" s="34" t="inlineStr">
        <is>
          <t>BKKT</t>
        </is>
      </c>
      <c r="B15" s="34" t="inlineStr">
        <is>
          <t>Crypto</t>
        </is>
      </c>
      <c r="C15" s="34" t="inlineStr">
        <is>
          <t>RWA</t>
        </is>
      </c>
      <c r="K15" s="37" t="n"/>
      <c r="L15" s="37" t="n"/>
      <c r="AA15" s="56" t="n">
        <v>40</v>
      </c>
      <c r="AB15" s="56" t="n">
        <v>45</v>
      </c>
      <c r="AC15" s="56" t="n">
        <v>60</v>
      </c>
      <c r="AD15" s="56" t="n">
        <v>70</v>
      </c>
      <c r="AE15" s="56" t="n">
        <v>60</v>
      </c>
      <c r="AF15" s="57" t="inlineStr">
        <is>
          <t>BKKT in crypto RWA theme has moderate momentum and thematic relevance. Risk is elevated due to crypto volatility but social buzz is solid from known contributors.</t>
        </is>
      </c>
    </row>
    <row r="16">
      <c r="A16" s="34" t="inlineStr">
        <is>
          <t>VOYG</t>
        </is>
      </c>
      <c r="B16" s="34" t="inlineStr">
        <is>
          <t>Aerospace</t>
        </is>
      </c>
      <c r="C16" s="34" t="inlineStr">
        <is>
          <t>Aerospace</t>
        </is>
      </c>
      <c r="K16" s="37" t="n"/>
      <c r="L16" s="37" t="n"/>
      <c r="AA16" s="56" t="n">
        <v>45</v>
      </c>
      <c r="AB16" s="56" t="n">
        <v>40</v>
      </c>
      <c r="AC16" s="56" t="n">
        <v>60</v>
      </c>
      <c r="AD16" s="56" t="n">
        <v>50</v>
      </c>
      <c r="AE16" s="56" t="n">
        <v>60</v>
      </c>
      <c r="AF16" s="57" t="inlineStr">
        <is>
          <t>VOYG operates in Aerospace with moderate thematic relevance and social buzz. Momentum is weak with negative YTD and mixed recent performance, and risk is moderate.</t>
        </is>
      </c>
    </row>
    <row r="17">
      <c r="A17" s="34" t="inlineStr">
        <is>
          <t>PL</t>
        </is>
      </c>
      <c r="B17" s="34" t="inlineStr">
        <is>
          <t>Aerospace</t>
        </is>
      </c>
      <c r="C17" s="34" t="inlineStr">
        <is>
          <t>Aerospace</t>
        </is>
      </c>
      <c r="K17" s="37" t="n"/>
      <c r="L17" s="37" t="n"/>
      <c r="AA17" s="56" t="n">
        <v>75</v>
      </c>
      <c r="AB17" s="56" t="n">
        <v>65</v>
      </c>
      <c r="AC17" s="56" t="n">
        <v>80</v>
      </c>
      <c r="AD17" s="56" t="n">
        <v>55</v>
      </c>
      <c r="AE17" s="56" t="n">
        <v>70</v>
      </c>
      <c r="AF17" s="57" t="inlineStr">
        <is>
          <t>PL benefits from strong aerospace theme aligned with market trends and solid YTD gains. Recent slight pullback reduces momentum slightly. Good social buzz from AI and investing KOLs enhances attractiveness with moderate risk.</t>
        </is>
      </c>
    </row>
    <row r="18">
      <c r="A18" s="34" t="inlineStr">
        <is>
          <t>AIRO</t>
        </is>
      </c>
      <c r="B18" s="34" t="inlineStr">
        <is>
          <t>Defense</t>
        </is>
      </c>
      <c r="C18" s="34" t="inlineStr">
        <is>
          <t>Drone</t>
        </is>
      </c>
      <c r="K18" s="37" t="n"/>
      <c r="L18" s="37" t="n"/>
      <c r="AA18" s="56" t="n">
        <v>50</v>
      </c>
      <c r="AB18" s="56" t="n">
        <v>40</v>
      </c>
      <c r="AC18" s="56" t="n">
        <v>65</v>
      </c>
      <c r="AD18" s="56" t="n">
        <v>75</v>
      </c>
      <c r="AE18" s="56" t="n">
        <v>60</v>
      </c>
      <c r="AF18" s="57" t="inlineStr">
        <is>
          <t>AIRO's drone defense theme is relevant but weak YTD and recent performance hurt momentum. Strong KOL presence supports social buzz. High volatility increases risk significantly.</t>
        </is>
      </c>
    </row>
    <row r="19">
      <c r="A19" s="34" t="inlineStr">
        <is>
          <t>MRCY</t>
        </is>
      </c>
      <c r="B19" s="34" t="inlineStr">
        <is>
          <t>Defense</t>
        </is>
      </c>
      <c r="C19" s="34" t="inlineStr">
        <is>
          <t>Defense</t>
        </is>
      </c>
      <c r="K19" s="37" t="n"/>
      <c r="L19" s="37" t="n"/>
      <c r="AA19" s="56" t="n">
        <v>50</v>
      </c>
      <c r="AB19" s="56" t="n">
        <v>25</v>
      </c>
      <c r="AC19" s="56" t="n">
        <v>70</v>
      </c>
      <c r="AD19" s="56" t="n">
        <v>75</v>
      </c>
      <c r="AE19" s="56" t="n">
        <v>65</v>
      </c>
      <c r="AF19" s="57" t="inlineStr">
        <is>
          <t>MRCY is in the Defense sector, a strong thematic area, with good social media backing. However, it suffers from poor recent momentum and high volatility, leading to a higher risk score and moderate overall attractiveness.</t>
        </is>
      </c>
    </row>
    <row r="20">
      <c r="A20" s="34" t="inlineStr">
        <is>
          <t>DPRO</t>
        </is>
      </c>
      <c r="B20" s="34" t="inlineStr">
        <is>
          <t>Defense</t>
        </is>
      </c>
      <c r="C20" s="34" t="inlineStr">
        <is>
          <t>Drone</t>
        </is>
      </c>
      <c r="K20" s="37" t="n"/>
      <c r="L20" s="37" t="n"/>
      <c r="AA20" s="56" t="n">
        <v>40</v>
      </c>
      <c r="AB20" s="56" t="n">
        <v>35</v>
      </c>
      <c r="AC20" s="56" t="n">
        <v>60</v>
      </c>
      <c r="AD20" s="56" t="n">
        <v>70</v>
      </c>
      <c r="AE20" s="56" t="n">
        <v>55</v>
      </c>
      <c r="AF20" s="57" t="inlineStr">
        <is>
          <t>DPRO in defense drone tech has a relevant theme but weak momentum and high risk. Moderate social buzz from a known KOL helps, but overall scores are subdued due to performance.</t>
        </is>
      </c>
    </row>
    <row r="21">
      <c r="A21" s="34" t="inlineStr">
        <is>
          <t>GLXY</t>
        </is>
      </c>
      <c r="B21" s="34" t="inlineStr">
        <is>
          <t>Fintech &amp; Crypto</t>
        </is>
      </c>
      <c r="C21" s="34" t="inlineStr">
        <is>
          <t>AI Hyperscaler</t>
        </is>
      </c>
      <c r="K21" s="37" t="n"/>
      <c r="L21" s="37" t="n"/>
      <c r="AA21" s="56" t="n">
        <v>55</v>
      </c>
      <c r="AB21" s="56" t="n">
        <v>55</v>
      </c>
      <c r="AC21" s="56" t="n">
        <v>70</v>
      </c>
      <c r="AD21" s="56" t="n">
        <v>60</v>
      </c>
      <c r="AE21" s="56" t="n">
        <v>65</v>
      </c>
      <c r="AF21" s="57" t="inlineStr">
        <is>
          <t>GLXY is an AI hyperscaler in fintech &amp; crypto with decent momentum and strong thematic relevance. Moderate risk and good social buzz from KOLs support a balanced investment profile.</t>
        </is>
      </c>
    </row>
    <row r="22">
      <c r="A22" s="34" t="inlineStr">
        <is>
          <t>AMPX</t>
        </is>
      </c>
      <c r="B22" s="34" t="inlineStr">
        <is>
          <t>Semis, Optics &amp; Edge AI</t>
        </is>
      </c>
      <c r="C22" s="34" t="inlineStr">
        <is>
          <t>Solid state battery</t>
        </is>
      </c>
      <c r="K22" s="37" t="n"/>
      <c r="L22" s="37" t="n"/>
      <c r="AA22" s="56" t="n">
        <v>78</v>
      </c>
      <c r="AB22" s="56" t="n">
        <v>60</v>
      </c>
      <c r="AC22" s="56" t="n">
        <v>80</v>
      </c>
      <c r="AD22" s="56" t="n">
        <v>55</v>
      </c>
      <c r="AE22" s="56" t="n">
        <v>50</v>
      </c>
      <c r="AF22" s="57" t="inlineStr">
        <is>
          <t>AMPX has a strong theme with solid state batteries and edge AI relevance. Momentum is moderate but steady. Social buzz is decent and risk is moderate due to sector volatility.</t>
        </is>
      </c>
    </row>
    <row r="23">
      <c r="A23" s="34" t="inlineStr">
        <is>
          <t>AEHR</t>
        </is>
      </c>
      <c r="B23" s="34" t="n"/>
      <c r="C23" s="34" t="n"/>
      <c r="K23" s="37" t="n"/>
      <c r="L23" s="37" t="n"/>
      <c r="AA23" s="56" t="n">
        <v>50</v>
      </c>
      <c r="AB23" s="56" t="n">
        <v>40</v>
      </c>
      <c r="AC23" s="56" t="n">
        <v>20</v>
      </c>
      <c r="AD23" s="56" t="n">
        <v>70</v>
      </c>
      <c r="AE23" s="56" t="n">
        <v>35</v>
      </c>
      <c r="AF23" s="57" t="inlineStr">
        <is>
          <t>AEHR has weak momentum and no clear thematic play. Social buzz is low and volatility is high, resulting in a higher risk profile.</t>
        </is>
      </c>
    </row>
    <row r="24">
      <c r="A24" s="34" t="inlineStr">
        <is>
          <t>SES</t>
        </is>
      </c>
      <c r="B24" s="34" t="n"/>
      <c r="C24" s="34" t="n"/>
      <c r="K24" s="37" t="n"/>
      <c r="L24" s="37" t="n"/>
      <c r="AA24" s="56" t="n">
        <v>25</v>
      </c>
      <c r="AB24" s="56" t="n">
        <v>55</v>
      </c>
      <c r="AC24" s="56" t="n">
        <v>30</v>
      </c>
      <c r="AD24" s="56" t="n">
        <v>70</v>
      </c>
      <c r="AE24" s="56" t="n">
        <v>20</v>
      </c>
      <c r="AF24" s="57" t="inlineStr">
        <is>
          <t>SES shows positive momentum recently but suffers from very poor YTD performance and lacks a clear thematic play or social buzz. The absence of a strong theme and social backing limits its attractiveness despite short-term momentum.</t>
        </is>
      </c>
    </row>
    <row r="25">
      <c r="A25" s="34" t="inlineStr">
        <is>
          <t>UMAC</t>
        </is>
      </c>
      <c r="B25" s="34" t="inlineStr">
        <is>
          <t>Defense</t>
        </is>
      </c>
      <c r="C25" s="34" t="inlineStr">
        <is>
          <t>Drone</t>
        </is>
      </c>
      <c r="K25" s="37" t="n"/>
      <c r="L25" s="37" t="n"/>
      <c r="AA25" s="56" t="n">
        <v>88</v>
      </c>
      <c r="AB25" s="56" t="n">
        <v>95</v>
      </c>
      <c r="AC25" s="56" t="n">
        <v>80</v>
      </c>
      <c r="AD25" s="56" t="n">
        <v>65</v>
      </c>
      <c r="AE25" s="56" t="n">
        <v>75</v>
      </c>
      <c r="AF25" s="57" t="inlineStr">
        <is>
          <t>UMAC exhibits exceptional momentum with 18.06% weekly and 50.33% YTD gains, driven by strong thematic relevance in drones within defense. The presence of active KOLs enhances social buzz. Higher volatility due to sharp price moves increases risk moderately.</t>
        </is>
      </c>
    </row>
    <row r="26">
      <c r="A26" s="34" t="inlineStr">
        <is>
          <t>LMND</t>
        </is>
      </c>
      <c r="B26" s="34" t="n"/>
      <c r="C26" s="34" t="inlineStr">
        <is>
          <t>AI Insurance</t>
        </is>
      </c>
      <c r="K26" s="37" t="n"/>
      <c r="L26" s="37" t="n"/>
      <c r="AA26" s="56" t="n">
        <v>38</v>
      </c>
      <c r="AB26" s="56" t="n">
        <v>40</v>
      </c>
      <c r="AC26" s="56" t="n">
        <v>70</v>
      </c>
      <c r="AD26" s="56" t="n">
        <v>70</v>
      </c>
      <c r="AE26" s="56" t="n">
        <v>60</v>
      </c>
      <c r="AF26" s="57" t="inlineStr">
        <is>
          <t>LMND's AI Insurance theme is relevant with flat recent momentum and negative YTD. Risk is moderate and social buzz is decent due to KOLs.</t>
        </is>
      </c>
    </row>
    <row r="27">
      <c r="A27" s="34" t="inlineStr">
        <is>
          <t>IRDM</t>
        </is>
      </c>
      <c r="B27" s="34" t="inlineStr">
        <is>
          <t>Defense</t>
        </is>
      </c>
      <c r="C27" s="34" t="inlineStr">
        <is>
          <t>DSCS</t>
        </is>
      </c>
      <c r="K27" s="37" t="n"/>
      <c r="L27" s="37" t="n"/>
      <c r="AA27" s="56" t="n">
        <v>75</v>
      </c>
      <c r="AB27" s="56" t="n">
        <v>70</v>
      </c>
      <c r="AC27" s="56" t="n">
        <v>65</v>
      </c>
      <c r="AD27" s="56" t="n">
        <v>50</v>
      </c>
      <c r="AE27" s="56" t="n">
        <v>70</v>
      </c>
      <c r="AF27" s="57" t="inlineStr">
        <is>
          <t>IRDM shows steady momentum with positive weekly and YTD returns in the defense DSCS niche, which is relevant but less hot than drones or AI. Strong KOL backing enhances social buzz. Risk remains moderate due to balanced volatility.</t>
        </is>
      </c>
    </row>
    <row r="28">
      <c r="A28" s="34" t="inlineStr">
        <is>
          <t>FLY</t>
        </is>
      </c>
      <c r="B28" s="34" t="inlineStr">
        <is>
          <t>Aerospace</t>
        </is>
      </c>
      <c r="C28" s="34" t="inlineStr">
        <is>
          <t>Aerospace</t>
        </is>
      </c>
      <c r="K28" s="37" t="n"/>
      <c r="L28" s="37" t="n"/>
      <c r="AA28" s="56" t="n">
        <v>60</v>
      </c>
      <c r="AB28" s="56" t="n">
        <v>75</v>
      </c>
      <c r="AC28" s="56" t="n">
        <v>70</v>
      </c>
      <c r="AD28" s="56" t="n">
        <v>65</v>
      </c>
      <c r="AE28" s="56" t="n">
        <v>70</v>
      </c>
      <c r="AF28" s="57" t="inlineStr">
        <is>
          <t>FLY has strong recent momentum with positive weekly and specific date gains in the Aerospace theme, which remains relevant. Good social media backing supports the social buzz score, though moderate risk is present due to volatility.</t>
        </is>
      </c>
    </row>
    <row r="29">
      <c r="A29" s="34" t="inlineStr">
        <is>
          <t>NVTS</t>
        </is>
      </c>
      <c r="B29" s="34" t="n"/>
      <c r="C29" s="34" t="n"/>
      <c r="K29" s="37" t="n"/>
      <c r="L29" s="37" t="n"/>
      <c r="AA29" s="56" t="n">
        <v>70</v>
      </c>
      <c r="AB29" s="56" t="n">
        <v>80</v>
      </c>
      <c r="AC29" s="56" t="n">
        <v>40</v>
      </c>
      <c r="AD29" s="56" t="n">
        <v>55</v>
      </c>
      <c r="AE29" s="56" t="n">
        <v>40</v>
      </c>
      <c r="AF29" s="57" t="inlineStr">
        <is>
          <t>NVTS shows strong momentum with 20.53% weekly and YTD gains but lacks a clear thematic focus and KOL backing, limiting theme and social buzz scores. Risk is moderate due to volatility.</t>
        </is>
      </c>
    </row>
    <row r="30">
      <c r="A30" s="34" t="inlineStr">
        <is>
          <t>SMR</t>
        </is>
      </c>
      <c r="B30" s="34" t="n"/>
      <c r="C30" s="34" t="inlineStr">
        <is>
          <t>SMR Nuclear</t>
        </is>
      </c>
      <c r="K30" s="37" t="n"/>
      <c r="L30" s="37" t="n"/>
      <c r="AA30" s="56" t="n">
        <v>35</v>
      </c>
      <c r="AB30" s="56" t="n">
        <v>40</v>
      </c>
      <c r="AC30" s="56" t="n">
        <v>65</v>
      </c>
      <c r="AD30" s="56" t="n">
        <v>70</v>
      </c>
      <c r="AE30" s="56" t="n">
        <v>60</v>
      </c>
      <c r="AF30" s="57" t="inlineStr">
        <is>
          <t>SMR Nuclear is a niche theme with moderate relevance but weak recent momentum and negative YTD performance. Moderate risk due to volatility and moderate social buzz from KOLs.</t>
        </is>
      </c>
    </row>
    <row r="31">
      <c r="A31" s="34" t="inlineStr">
        <is>
          <t>AVAV</t>
        </is>
      </c>
      <c r="B31" s="34" t="n"/>
      <c r="C31" s="34" t="inlineStr">
        <is>
          <t>Drone</t>
        </is>
      </c>
      <c r="K31" s="37" t="n"/>
      <c r="L31" s="37" t="n"/>
      <c r="AA31" s="56" t="n">
        <v>40</v>
      </c>
      <c r="AB31" s="56" t="n">
        <v>25</v>
      </c>
      <c r="AC31" s="56" t="n">
        <v>60</v>
      </c>
      <c r="AD31" s="56" t="n">
        <v>70</v>
      </c>
      <c r="AE31" s="56" t="n">
        <v>55</v>
      </c>
      <c r="AF31" s="57" t="inlineStr">
        <is>
          <t>AVAV shows weak momentum with negative YTD and weekly performance. The drone theme is moderately relevant but not a top hot theme in 2025-2026. Moderate social buzz due to KOL presence but high volatility increases risk.</t>
        </is>
      </c>
    </row>
    <row r="32">
      <c r="A32" s="34" t="inlineStr">
        <is>
          <t>NVO</t>
        </is>
      </c>
      <c r="B32" s="34" t="inlineStr">
        <is>
          <t>Biotech &amp; Pharma</t>
        </is>
      </c>
      <c r="C32" s="34" t="inlineStr">
        <is>
          <t>GLP-1</t>
        </is>
      </c>
      <c r="K32" s="37" t="n"/>
      <c r="L32" s="37" t="n"/>
      <c r="AA32" s="56" t="n">
        <v>30</v>
      </c>
      <c r="AB32" s="56" t="n">
        <v>30</v>
      </c>
      <c r="AC32" s="56" t="n">
        <v>60</v>
      </c>
      <c r="AD32" s="56" t="n">
        <v>75</v>
      </c>
      <c r="AE32" s="56" t="n">
        <v>60</v>
      </c>
      <c r="AF32" s="57" t="inlineStr">
        <is>
          <t>NVO focuses on GLP-1, a popular biotech theme, but has poor momentum and high risk. Social buzz is moderate due to KOL backing.</t>
        </is>
      </c>
    </row>
    <row r="33">
      <c r="A33" s="34" t="inlineStr">
        <is>
          <t>VOXR</t>
        </is>
      </c>
      <c r="B33" s="34" t="n"/>
      <c r="C33" s="34" t="inlineStr">
        <is>
          <t>Precious Metal</t>
        </is>
      </c>
      <c r="K33" s="37" t="n"/>
      <c r="L33" s="37" t="n"/>
      <c r="AA33" s="56" t="n">
        <v>50</v>
      </c>
      <c r="AB33" s="56" t="n">
        <v>45</v>
      </c>
      <c r="AC33" s="56" t="n">
        <v>40</v>
      </c>
      <c r="AD33" s="56" t="n">
        <v>65</v>
      </c>
      <c r="AE33" s="56" t="n">
        <v>40</v>
      </c>
      <c r="AF33" s="57" t="inlineStr">
        <is>
          <t>VOXR's precious metal theme is less trendy in 2025-2026, limiting theme score. YTD performance is decent but recent weekly losses reduce momentum. Limited social buzz and moderate volatility contribute to risk.</t>
        </is>
      </c>
    </row>
    <row r="34">
      <c r="A34" s="34" t="inlineStr">
        <is>
          <t>RKLB</t>
        </is>
      </c>
      <c r="B34" s="34" t="inlineStr">
        <is>
          <t>Aerospace</t>
        </is>
      </c>
      <c r="C34" s="34" t="inlineStr">
        <is>
          <t>Aerospace</t>
        </is>
      </c>
      <c r="K34" s="37" t="n"/>
      <c r="L34" s="37" t="n"/>
      <c r="AA34" s="56" t="n">
        <v>45</v>
      </c>
      <c r="AB34" s="56" t="n">
        <v>35</v>
      </c>
      <c r="AC34" s="56" t="n">
        <v>65</v>
      </c>
      <c r="AD34" s="56" t="n">
        <v>65</v>
      </c>
      <c r="AE34" s="56" t="n">
        <v>60</v>
      </c>
      <c r="AF34" s="57" t="inlineStr">
        <is>
          <t>RKLB in aerospace has moderate thematic relevance and social buzz but suffers from negative momentum and moderate risk. The sector is stable but not a top performer currently.</t>
        </is>
      </c>
    </row>
    <row r="35">
      <c r="A35" s="34" t="inlineStr">
        <is>
          <t>SLP</t>
        </is>
      </c>
      <c r="B35" s="34" t="n"/>
      <c r="C35" s="34" t="inlineStr">
        <is>
          <t>AI Medicine</t>
        </is>
      </c>
      <c r="K35" s="37" t="n"/>
      <c r="L35" s="37" t="n"/>
      <c r="AA35" s="56" t="n">
        <v>45</v>
      </c>
      <c r="AB35" s="56" t="n">
        <v>50</v>
      </c>
      <c r="AC35" s="56" t="n">
        <v>70</v>
      </c>
      <c r="AD35" s="56" t="n">
        <v>65</v>
      </c>
      <c r="AE35" s="56" t="n">
        <v>60</v>
      </c>
      <c r="AF35" s="57" t="inlineStr">
        <is>
          <t>SLP is positioned in AI Medicine, a strong thematic area, with slight positive momentum over the past week and a positive specific date performance. Despite heavy YTD losses, the moderate momentum and thematic relevance support a mid-level score. Social buzz is moderate with known KOL backing.</t>
        </is>
      </c>
    </row>
    <row r="36">
      <c r="A36" s="34" t="inlineStr">
        <is>
          <t>LASR</t>
        </is>
      </c>
      <c r="B36" s="34" t="n"/>
      <c r="C36" s="34" t="inlineStr">
        <is>
          <t>Defense</t>
        </is>
      </c>
      <c r="K36" s="37" t="n"/>
      <c r="L36" s="37" t="n"/>
      <c r="AA36" s="56" t="n">
        <v>80</v>
      </c>
      <c r="AB36" s="56" t="n">
        <v>85</v>
      </c>
      <c r="AC36" s="56" t="n">
        <v>75</v>
      </c>
      <c r="AD36" s="56" t="n">
        <v>50</v>
      </c>
      <c r="AE36" s="56" t="n">
        <v>70</v>
      </c>
      <c r="AF36" s="57" t="inlineStr">
        <is>
          <t>LASR shows strong YTD momentum with 63.15% gain and moderate weekly growth, reflecting solid price performance. Its defense theme is highly relevant in 2025, supported by notable KOLs, boosting social buzz. Moderate volatility keeps risk at a balanced level.</t>
        </is>
      </c>
    </row>
    <row r="37">
      <c r="A37" s="34" t="inlineStr">
        <is>
          <t>CERT</t>
        </is>
      </c>
      <c r="B37" s="34" t="inlineStr">
        <is>
          <t>Biotech &amp; Pharma</t>
        </is>
      </c>
      <c r="C37" s="34" t="inlineStr">
        <is>
          <t>AI Medicine</t>
        </is>
      </c>
      <c r="K37" s="37" t="n"/>
      <c r="L37" s="37" t="n"/>
      <c r="AA37" s="56" t="n">
        <v>40</v>
      </c>
      <c r="AB37" s="56" t="n">
        <v>35</v>
      </c>
      <c r="AC37" s="56" t="n">
        <v>70</v>
      </c>
      <c r="AD37" s="56" t="n">
        <v>75</v>
      </c>
      <c r="AE37" s="56" t="n">
        <v>50</v>
      </c>
      <c r="AF37" s="57" t="inlineStr">
        <is>
          <t>CERT's AI Medicine theme is strong and relevant, but recent and YTD momentum is negative. Risk remains elevated due to biotech volatility. Social buzz is moderate with some KOL presence.</t>
        </is>
      </c>
    </row>
    <row r="38">
      <c r="A38" s="34" t="inlineStr">
        <is>
          <t>SYNA</t>
        </is>
      </c>
      <c r="B38" s="34" t="n"/>
      <c r="C38" s="34" t="inlineStr">
        <is>
          <t>AI IoT</t>
        </is>
      </c>
      <c r="K38" s="37" t="n"/>
      <c r="L38" s="37" t="n"/>
      <c r="AA38" s="56" t="n">
        <v>35</v>
      </c>
      <c r="AB38" s="56" t="n">
        <v>30</v>
      </c>
      <c r="AC38" s="56" t="n">
        <v>65</v>
      </c>
      <c r="AD38" s="56" t="n">
        <v>60</v>
      </c>
      <c r="AE38" s="56" t="n">
        <v>40</v>
      </c>
      <c r="AF38" s="57" t="inlineStr">
        <is>
          <t>SYNA has a relevant AI IoT theme but suffers from negative momentum and moderate volatility. Social buzz is limited, which combined with risk factors lowers overall attractiveness.</t>
        </is>
      </c>
    </row>
    <row r="39">
      <c r="A39" s="34" t="inlineStr">
        <is>
          <t>SATS</t>
        </is>
      </c>
      <c r="B39" s="34" t="inlineStr">
        <is>
          <t>Aerospace</t>
        </is>
      </c>
      <c r="C39" s="34" t="inlineStr">
        <is>
          <t>Aerospace</t>
        </is>
      </c>
      <c r="K39" s="37" t="n"/>
      <c r="L39" s="37" t="n"/>
      <c r="AA39" s="56" t="n">
        <v>55</v>
      </c>
      <c r="AB39" s="56" t="n">
        <v>40</v>
      </c>
      <c r="AC39" s="56" t="n">
        <v>70</v>
      </c>
      <c r="AD39" s="56" t="n">
        <v>60</v>
      </c>
      <c r="AE39" s="56" t="n">
        <v>65</v>
      </c>
      <c r="AF39" s="57" t="inlineStr">
        <is>
          <t>SATS operates in the aerospace sector which remains relevant but has shown negative momentum YTD and weekly. Moderate risk due to volatility and moderate social buzz from notable KOLs. The aerospace theme is solid but not a top hot theme currently.</t>
        </is>
      </c>
    </row>
    <row r="40">
      <c r="A40" s="34" t="inlineStr">
        <is>
          <t>OKLO</t>
        </is>
      </c>
      <c r="B40" s="34" t="n"/>
      <c r="C40" s="34" t="inlineStr">
        <is>
          <t>SMR Nuclear</t>
        </is>
      </c>
      <c r="K40" s="37" t="n"/>
      <c r="L40" s="37" t="n"/>
      <c r="AA40" s="56" t="n">
        <v>30</v>
      </c>
      <c r="AB40" s="56" t="n">
        <v>25</v>
      </c>
      <c r="AC40" s="56" t="n">
        <v>60</v>
      </c>
      <c r="AD40" s="56" t="n">
        <v>70</v>
      </c>
      <c r="AE40" s="56" t="n">
        <v>50</v>
      </c>
      <c r="AF40" s="57" t="inlineStr">
        <is>
          <t>OKLO's SMR Nuclear theme is relevant but niche. Momentum is weak with high risk. Moderate social buzz from KOLs provides some support.</t>
        </is>
      </c>
    </row>
    <row r="41">
      <c r="A41" s="34" t="inlineStr">
        <is>
          <t>RXRX</t>
        </is>
      </c>
      <c r="B41" s="34" t="inlineStr">
        <is>
          <t>Biotech &amp; Pharma</t>
        </is>
      </c>
      <c r="C41" s="34" t="inlineStr">
        <is>
          <t>AI Medicine</t>
        </is>
      </c>
      <c r="K41" s="37" t="n"/>
      <c r="L41" s="37" t="n"/>
      <c r="AA41" s="56" t="n">
        <v>40</v>
      </c>
      <c r="AB41" s="56" t="n">
        <v>33</v>
      </c>
      <c r="AC41" s="56" t="n">
        <v>70</v>
      </c>
      <c r="AD41" s="56" t="n">
        <v>65</v>
      </c>
      <c r="AE41" s="56" t="n">
        <v>50</v>
      </c>
      <c r="AF41" s="57" t="inlineStr">
        <is>
          <t>RXRX benefits from the AI Medicine theme, which is strong and relevant. Momentum is weak but steady. Moderate social buzz and risk due to biotech volatility.</t>
        </is>
      </c>
    </row>
    <row r="42">
      <c r="A42" s="34" t="inlineStr">
        <is>
          <t>VPG</t>
        </is>
      </c>
      <c r="B42" s="34" t="n"/>
      <c r="C42" s="34" t="inlineStr">
        <is>
          <t>Robotics</t>
        </is>
      </c>
      <c r="K42" s="37" t="n"/>
      <c r="L42" s="37" t="n"/>
      <c r="AA42" s="56" t="n">
        <v>60</v>
      </c>
      <c r="AB42" s="56" t="n">
        <v>35</v>
      </c>
      <c r="AC42" s="56" t="n">
        <v>75</v>
      </c>
      <c r="AD42" s="56" t="n">
        <v>70</v>
      </c>
      <c r="AE42" s="56" t="n">
        <v>70</v>
      </c>
      <c r="AF42" s="57" t="inlineStr">
        <is>
          <t>VPG operates in the Robotics theme, which is relevant and growing, supported by notable KOLs boosting social buzz. However, recent negative momentum and high volatility increase risk, slightly dampening the overall score.</t>
        </is>
      </c>
    </row>
    <row r="43">
      <c r="A43" s="34" t="inlineStr">
        <is>
          <t>INOD</t>
        </is>
      </c>
      <c r="B43" s="34" t="n"/>
      <c r="C43" s="34" t="inlineStr">
        <is>
          <t>AI Data</t>
        </is>
      </c>
      <c r="K43" s="37" t="n"/>
      <c r="L43" s="37" t="n"/>
      <c r="AA43" s="56" t="n">
        <v>38</v>
      </c>
      <c r="AB43" s="56" t="n">
        <v>27</v>
      </c>
      <c r="AC43" s="56" t="n">
        <v>70</v>
      </c>
      <c r="AD43" s="56" t="n">
        <v>70</v>
      </c>
      <c r="AE43" s="56" t="n">
        <v>50</v>
      </c>
      <c r="AF43" s="57" t="inlineStr">
        <is>
          <t>INOD is tied to AI Data, a strong theme, but suffers from poor momentum and high volatility. Moderate social buzz from a KOL helps but risk remains high.</t>
        </is>
      </c>
    </row>
    <row r="44">
      <c r="A44" s="34" t="inlineStr">
        <is>
          <t>ACMR</t>
        </is>
      </c>
      <c r="B44" s="34" t="n"/>
      <c r="C44" s="34" t="inlineStr">
        <is>
          <t>AI Chip</t>
        </is>
      </c>
      <c r="K44" s="37" t="n"/>
      <c r="L44" s="37" t="n"/>
      <c r="AA44" s="56" t="n">
        <v>55</v>
      </c>
      <c r="AB44" s="56" t="n">
        <v>30</v>
      </c>
      <c r="AC44" s="56" t="n">
        <v>80</v>
      </c>
      <c r="AD44" s="56" t="n">
        <v>80</v>
      </c>
      <c r="AE44" s="56" t="n">
        <v>70</v>
      </c>
      <c r="AF44" s="57" t="inlineStr">
        <is>
          <t>ACMR benefits from a strong AI Chip theme and good social buzz but has poor recent momentum and high volatility, reflected in a high risk score. The overall score balances strong thematic appeal with momentum and risk concerns.</t>
        </is>
      </c>
    </row>
    <row r="45">
      <c r="A45" s="34" t="inlineStr">
        <is>
          <t>ONDS</t>
        </is>
      </c>
      <c r="B45" s="34" t="n"/>
      <c r="C45" s="34" t="inlineStr">
        <is>
          <t>Drone</t>
        </is>
      </c>
      <c r="K45" s="37" t="n"/>
      <c r="L45" s="37" t="n"/>
      <c r="AA45" s="56" t="n">
        <v>40</v>
      </c>
      <c r="AB45" s="56" t="n">
        <v>50</v>
      </c>
      <c r="AC45" s="56" t="n">
        <v>55</v>
      </c>
      <c r="AD45" s="56" t="n">
        <v>60</v>
      </c>
      <c r="AE45" s="56" t="n">
        <v>50</v>
      </c>
      <c r="AF45" s="57" t="inlineStr">
        <is>
          <t>ONDS operates in the Drone theme with moderate thematic relevance and social buzz. Momentum is mixed with negative YTD but positive recent performance, and risk is moderate due to volatility.</t>
        </is>
      </c>
    </row>
    <row r="46">
      <c r="A46" s="34" t="inlineStr">
        <is>
          <t>SHMD</t>
        </is>
      </c>
      <c r="B46" s="34" t="inlineStr">
        <is>
          <t>Semis, Optics &amp; Edge AI</t>
        </is>
      </c>
      <c r="C46" s="34" t="inlineStr">
        <is>
          <t>AI PCB</t>
        </is>
      </c>
      <c r="K46" s="37" t="n"/>
      <c r="L46" s="37" t="n"/>
      <c r="AA46" s="56" t="n">
        <v>30</v>
      </c>
      <c r="AB46" s="56" t="n">
        <v>20</v>
      </c>
      <c r="AC46" s="56" t="n">
        <v>60</v>
      </c>
      <c r="AD46" s="56" t="n">
        <v>80</v>
      </c>
      <c r="AE46" s="56" t="n">
        <v>50</v>
      </c>
      <c r="AF46" s="57" t="inlineStr">
        <is>
          <t>SHMD is in AI PCB, a relevant AI theme, but has poor momentum and very high risk due to volatility and steep losses. Social buzz is average but insufficient to offset risk.</t>
        </is>
      </c>
    </row>
    <row r="47">
      <c r="A47" s="34" t="inlineStr">
        <is>
          <t>ZETA</t>
        </is>
      </c>
      <c r="B47" s="34" t="n"/>
      <c r="C47" s="34" t="inlineStr">
        <is>
          <t>AI Agent</t>
        </is>
      </c>
      <c r="K47" s="37" t="n"/>
      <c r="L47" s="37" t="n"/>
      <c r="AA47" s="56" t="n">
        <v>50</v>
      </c>
      <c r="AB47" s="56" t="n">
        <v>40</v>
      </c>
      <c r="AC47" s="56" t="n">
        <v>70</v>
      </c>
      <c r="AD47" s="56" t="n">
        <v>65</v>
      </c>
      <c r="AE47" s="56" t="n">
        <v>65</v>
      </c>
      <c r="AF47" s="57" t="inlineStr">
        <is>
          <t>ZETA is an AI Agent play with a strong thematic score and decent social buzz. Momentum is weak but recent positive specific date performance helps. Risk remains moderate due to volatility.</t>
        </is>
      </c>
    </row>
    <row r="48">
      <c r="A48" s="34" t="inlineStr">
        <is>
          <t>TE</t>
        </is>
      </c>
      <c r="B48" s="34" t="n"/>
      <c r="C48" s="34" t="inlineStr">
        <is>
          <t>Solar</t>
        </is>
      </c>
      <c r="K48" s="37" t="n"/>
      <c r="L48" s="37" t="n"/>
      <c r="AA48" s="56" t="n">
        <v>55</v>
      </c>
      <c r="AB48" s="56" t="n">
        <v>65</v>
      </c>
      <c r="AC48" s="56" t="n">
        <v>65</v>
      </c>
      <c r="AD48" s="56" t="n">
        <v>55</v>
      </c>
      <c r="AE48" s="56" t="n">
        <v>65</v>
      </c>
      <c r="AF48" s="57" t="inlineStr">
        <is>
          <t>TE benefits from a strong Solar theme and good momentum on recent dates. Social buzz is solid with notable KOLs, and risk remains moderate due to manageable volatility.</t>
        </is>
      </c>
    </row>
    <row r="49">
      <c r="A49" s="34" t="inlineStr">
        <is>
          <t>CDLX</t>
        </is>
      </c>
      <c r="B49" s="34" t="n"/>
      <c r="C49" s="34" t="inlineStr">
        <is>
          <t>AI Data</t>
        </is>
      </c>
      <c r="K49" s="37" t="n"/>
      <c r="L49" s="37" t="n"/>
      <c r="AA49" s="56" t="n">
        <v>20</v>
      </c>
      <c r="AB49" s="56" t="n">
        <v>15</v>
      </c>
      <c r="AC49" s="56" t="n">
        <v>60</v>
      </c>
      <c r="AD49" s="56" t="n">
        <v>80</v>
      </c>
      <c r="AE49" s="56" t="n">
        <v>25</v>
      </c>
      <c r="AF49" s="57" t="inlineStr">
        <is>
          <t>CDLX is in AI Data but suffers from very poor momentum and the worst recent weekly performance. Lack of social buzz and high volatility contribute to a high risk score and low overall attractiveness.</t>
        </is>
      </c>
    </row>
    <row r="50">
      <c r="A50" s="34" t="inlineStr">
        <is>
          <t>JOYY</t>
        </is>
      </c>
      <c r="B50" s="34" t="n"/>
      <c r="C50" s="34" t="inlineStr">
        <is>
          <t>AI Distribution</t>
        </is>
      </c>
      <c r="K50" s="37" t="n"/>
      <c r="L50" s="37" t="n"/>
      <c r="AA50" s="56" t="n">
        <v>40</v>
      </c>
      <c r="AB50" s="56" t="n">
        <v>45</v>
      </c>
      <c r="AC50" s="56" t="n">
        <v>60</v>
      </c>
      <c r="AD50" s="56" t="n">
        <v>50</v>
      </c>
      <c r="AE50" s="56" t="n">
        <v>50</v>
      </c>
      <c r="AF50" s="57" t="inlineStr">
        <is>
          <t>JOYY's AI Distribution theme is relevant but recent momentum is weak with negative YTD. Social buzz is moderate with some KOL presence, and risk is average.</t>
        </is>
      </c>
    </row>
    <row r="51">
      <c r="A51" s="34" t="inlineStr">
        <is>
          <t>LPTH</t>
        </is>
      </c>
      <c r="B51" s="34" t="n"/>
      <c r="C51" s="34" t="inlineStr">
        <is>
          <t>Photonics</t>
        </is>
      </c>
      <c r="K51" s="37" t="n"/>
      <c r="L51" s="37" t="n"/>
      <c r="AA51" s="56" t="n">
        <v>35</v>
      </c>
      <c r="AB51" s="56" t="n">
        <v>25</v>
      </c>
      <c r="AC51" s="56" t="n">
        <v>50</v>
      </c>
      <c r="AD51" s="56" t="n">
        <v>75</v>
      </c>
      <c r="AE51" s="56" t="n">
        <v>55</v>
      </c>
      <c r="AF51" s="57" t="inlineStr">
        <is>
          <t>LPTH is in photonics, a niche but important tech theme. However, it has weak momentum with significant negative returns and high volatility, increasing risk. Social buzz is moderate but limited to one KOL.</t>
        </is>
      </c>
    </row>
    <row r="52">
      <c r="A52" s="34" t="inlineStr">
        <is>
          <t>STM</t>
        </is>
      </c>
      <c r="B52" s="34" t="n"/>
      <c r="C52" s="34" t="inlineStr">
        <is>
          <t>Aerospace</t>
        </is>
      </c>
      <c r="K52" s="37" t="n"/>
      <c r="L52" s="37" t="n"/>
      <c r="AA52" s="56" t="n">
        <v>70</v>
      </c>
      <c r="AB52" s="56" t="n">
        <v>60</v>
      </c>
      <c r="AC52" s="56" t="n">
        <v>75</v>
      </c>
      <c r="AD52" s="56" t="n">
        <v>50</v>
      </c>
      <c r="AE52" s="56" t="n">
        <v>50</v>
      </c>
      <c r="AF52" s="57" t="inlineStr">
        <is>
          <t>STM has solid aerospace thematic relevance and decent YTD performance. Recent mild decline affects momentum. Social buzz is moderate with some KOL presence. Risk is moderate due to steady performance.</t>
        </is>
      </c>
    </row>
    <row r="53">
      <c r="A53" s="34" t="inlineStr">
        <is>
          <t>CEPT</t>
        </is>
      </c>
      <c r="B53" s="34" t="inlineStr">
        <is>
          <t>Fintech &amp; Crypto</t>
        </is>
      </c>
      <c r="C53" s="34" t="inlineStr">
        <is>
          <t>RWA</t>
        </is>
      </c>
      <c r="K53" s="37" t="n"/>
      <c r="L53" s="37" t="n"/>
      <c r="AA53" s="56" t="n">
        <v>35</v>
      </c>
      <c r="AB53" s="56" t="n">
        <v>35</v>
      </c>
      <c r="AC53" s="56" t="n">
        <v>70</v>
      </c>
      <c r="AD53" s="56" t="n">
        <v>65</v>
      </c>
      <c r="AE53" s="56" t="n">
        <v>55</v>
      </c>
      <c r="AF53" s="57" t="inlineStr">
        <is>
          <t>CEPT's Fintech &amp; Crypto theme with RWA focus is relevant but recent momentum is weak. Social buzz is decent, but higher volatility increases risk and lowers the overall score.</t>
        </is>
      </c>
    </row>
    <row r="54">
      <c r="A54" s="34" t="inlineStr">
        <is>
          <t>NBIS</t>
        </is>
      </c>
      <c r="B54" s="34" t="n"/>
      <c r="C54" s="34" t="inlineStr">
        <is>
          <t>AI Hyperscaler</t>
        </is>
      </c>
      <c r="K54" s="37" t="n"/>
      <c r="L54" s="37" t="n"/>
      <c r="AA54" s="56" t="n">
        <v>75</v>
      </c>
      <c r="AB54" s="56" t="n">
        <v>80</v>
      </c>
      <c r="AC54" s="56" t="n">
        <v>75</v>
      </c>
      <c r="AD54" s="56" t="n">
        <v>55</v>
      </c>
      <c r="AE54" s="56" t="n">
        <v>75</v>
      </c>
      <c r="AF54" s="57" t="inlineStr">
        <is>
          <t>NBIS benefits from strong momentum and a relevant AI hyperscaler theme, which is highly attractive in 2025. Good KOL support drives social buzz. Moderate risk due to balanced volatility.</t>
        </is>
      </c>
    </row>
    <row r="55">
      <c r="A55" s="34" t="inlineStr">
        <is>
          <t>NEE</t>
        </is>
      </c>
      <c r="B55" s="34" t="n"/>
      <c r="C55" s="34" t="inlineStr">
        <is>
          <t>AI Energy</t>
        </is>
      </c>
      <c r="K55" s="37" t="n"/>
      <c r="L55" s="37" t="n"/>
      <c r="AA55" s="56" t="n">
        <v>60</v>
      </c>
      <c r="AB55" s="56" t="n">
        <v>60</v>
      </c>
      <c r="AC55" s="56" t="n">
        <v>70</v>
      </c>
      <c r="AD55" s="56" t="n">
        <v>45</v>
      </c>
      <c r="AE55" s="56" t="n">
        <v>40</v>
      </c>
      <c r="AF55" s="57" t="inlineStr">
        <is>
          <t>NEE's AI Energy theme is relevant and YTD performance is decent. Momentum is stable with slight gains. Lack of KOL presence limits social buzz. Lower volatility results in lower risk.</t>
        </is>
      </c>
    </row>
    <row r="56">
      <c r="A56" s="34" t="inlineStr">
        <is>
          <t>TEM</t>
        </is>
      </c>
      <c r="B56" s="34" t="n"/>
      <c r="C56" s="34" t="inlineStr">
        <is>
          <t>AI Medicine</t>
        </is>
      </c>
      <c r="K56" s="37" t="n"/>
      <c r="L56" s="37" t="n"/>
    </row>
    <row r="57">
      <c r="A57" s="34" t="inlineStr">
        <is>
          <t>OSCR</t>
        </is>
      </c>
      <c r="B57" s="34" t="n"/>
      <c r="C57" s="34" t="inlineStr">
        <is>
          <t>Healthcare</t>
        </is>
      </c>
      <c r="K57" s="37" t="n"/>
      <c r="L57" s="37" t="n"/>
      <c r="AA57" s="56" t="n">
        <v>35</v>
      </c>
      <c r="AB57" s="56" t="n">
        <v>30</v>
      </c>
      <c r="AC57" s="56" t="n">
        <v>45</v>
      </c>
      <c r="AD57" s="56" t="n">
        <v>70</v>
      </c>
      <c r="AE57" s="56" t="n">
        <v>50</v>
      </c>
      <c r="AF57" s="57" t="inlineStr">
        <is>
          <t>OSCR in healthcare has a moderate theme score but poor momentum and high risk. Social buzz is moderate due to some KOL presence.</t>
        </is>
      </c>
    </row>
    <row r="58">
      <c r="A58" s="34" t="inlineStr">
        <is>
          <t>QUBT</t>
        </is>
      </c>
      <c r="B58" s="34" t="n"/>
      <c r="C58" s="34" t="inlineStr">
        <is>
          <t>Quantum Computing</t>
        </is>
      </c>
      <c r="K58" s="37" t="n"/>
      <c r="L58" s="37" t="n"/>
      <c r="AA58" s="56" t="n">
        <v>40</v>
      </c>
      <c r="AB58" s="56" t="n">
        <v>30</v>
      </c>
      <c r="AC58" s="56" t="n">
        <v>75</v>
      </c>
      <c r="AD58" s="56" t="n">
        <v>70</v>
      </c>
      <c r="AE58" s="56" t="n">
        <v>60</v>
      </c>
      <c r="AF58" s="57" t="inlineStr">
        <is>
          <t>QUBT operates in the high-interest Quantum Computing theme, earning a strong theme score. However, its significant YTD decline and recent negative momentum reduce its momentum and overall attractiveness. Moderate social buzz from a known KOL supports some investor interest, but volatility contributes to a high risk score.</t>
        </is>
      </c>
    </row>
    <row r="59">
      <c r="A59" s="34" t="inlineStr">
        <is>
          <t>AXTI</t>
        </is>
      </c>
      <c r="B59" s="34" t="n"/>
      <c r="C59" s="34" t="inlineStr">
        <is>
          <t>Photonics</t>
        </is>
      </c>
      <c r="K59" s="37" t="n"/>
      <c r="L59" s="37" t="n"/>
      <c r="AA59" s="56" t="n">
        <v>80</v>
      </c>
      <c r="AB59" s="56" t="n">
        <v>90</v>
      </c>
      <c r="AC59" s="56" t="n">
        <v>75</v>
      </c>
      <c r="AD59" s="56" t="n">
        <v>65</v>
      </c>
      <c r="AE59" s="56" t="n">
        <v>60</v>
      </c>
      <c r="AF59" s="57" t="inlineStr">
        <is>
          <t>AXTI benefits from strong momentum and a relevant photonics theme, which is gaining traction. Good social media presence supports its visibility. Moderate risk due to volatility but overall attractive for thematic investors.</t>
        </is>
      </c>
    </row>
    <row r="60">
      <c r="A60" s="34" t="inlineStr">
        <is>
          <t>CRSP</t>
        </is>
      </c>
      <c r="B60" s="34" t="n"/>
      <c r="C60" s="34" t="inlineStr">
        <is>
          <t>Gene Editing</t>
        </is>
      </c>
      <c r="K60" s="37" t="n"/>
      <c r="L60" s="37" t="n"/>
      <c r="AA60" s="56" t="n">
        <v>28</v>
      </c>
      <c r="AB60" s="56" t="n">
        <v>20</v>
      </c>
      <c r="AC60" s="56" t="n">
        <v>40</v>
      </c>
      <c r="AD60" s="56" t="n">
        <v>85</v>
      </c>
      <c r="AE60" s="56" t="n">
        <v>20</v>
      </c>
      <c r="AF60" s="57" t="inlineStr">
        <is>
          <t>CRSP is in gene editing, a specialized theme but with very poor momentum and high risk. Lack of KOL backing results in low social buzz, making it less attractive currently.</t>
        </is>
      </c>
    </row>
    <row r="61">
      <c r="A61" s="34" t="inlineStr">
        <is>
          <t>LFMD</t>
        </is>
      </c>
      <c r="B61" s="34" t="inlineStr">
        <is>
          <t>Biotech &amp; Pharma</t>
        </is>
      </c>
      <c r="C61" s="34" t="inlineStr">
        <is>
          <t>GLP-1</t>
        </is>
      </c>
      <c r="K61" s="37" t="n"/>
      <c r="L61" s="37" t="n"/>
      <c r="AA61" s="56" t="n">
        <v>80</v>
      </c>
      <c r="AB61" s="56" t="n">
        <v>90</v>
      </c>
      <c r="AC61" s="56" t="n">
        <v>75</v>
      </c>
      <c r="AD61" s="56" t="n">
        <v>65</v>
      </c>
      <c r="AE61" s="56" t="n">
        <v>70</v>
      </c>
      <c r="AF61" s="57" t="inlineStr">
        <is>
          <t>LFMD exhibits exceptional recent momentum with strong weekly and daily gains. GLP-1 theme remains highly relevant in biotech. Good social buzz from KOLs supports interest, though volatility raises risk moderately.</t>
        </is>
      </c>
    </row>
    <row r="62">
      <c r="A62" s="34" t="inlineStr">
        <is>
          <t>CCCX</t>
        </is>
      </c>
      <c r="B62" s="34" t="n"/>
      <c r="C62" s="34" t="inlineStr">
        <is>
          <t>Quantum Computing</t>
        </is>
      </c>
      <c r="K62" s="37" t="n"/>
      <c r="L62" s="37" t="n"/>
    </row>
    <row r="63">
      <c r="A63" s="34" t="inlineStr">
        <is>
          <t>IONQ</t>
        </is>
      </c>
      <c r="B63" s="34" t="n"/>
      <c r="C63" s="34" t="inlineStr">
        <is>
          <t>Quantum Computing</t>
        </is>
      </c>
      <c r="K63" s="37" t="n"/>
      <c r="L63" s="37" t="n"/>
      <c r="AA63" s="56" t="n">
        <v>38</v>
      </c>
      <c r="AB63" s="56" t="n">
        <v>28</v>
      </c>
      <c r="AC63" s="56" t="n">
        <v>80</v>
      </c>
      <c r="AD63" s="56" t="n">
        <v>85</v>
      </c>
      <c r="AE63" s="56" t="n">
        <v>65</v>
      </c>
      <c r="AF63" s="57" t="inlineStr">
        <is>
          <t>IONQ is in the hot Quantum Computing theme but suffers from weak momentum and high volatility. Social buzz is good with notable KOLs.</t>
        </is>
      </c>
    </row>
    <row r="64">
      <c r="A64" s="34" t="inlineStr">
        <is>
          <t>GTLB</t>
        </is>
      </c>
      <c r="B64" s="34" t="n"/>
      <c r="C64" s="34" t="inlineStr">
        <is>
          <t>AI Agent</t>
        </is>
      </c>
      <c r="K64" s="37" t="n"/>
      <c r="L64" s="37" t="n"/>
      <c r="AA64" s="56" t="n">
        <v>30</v>
      </c>
      <c r="AB64" s="56" t="n">
        <v>25</v>
      </c>
      <c r="AC64" s="56" t="n">
        <v>65</v>
      </c>
      <c r="AD64" s="56" t="n">
        <v>75</v>
      </c>
      <c r="AE64" s="56" t="n">
        <v>60</v>
      </c>
      <c r="AF64" s="57" t="inlineStr">
        <is>
          <t>GTLB is in the AI Agent theme, which is relevant but the stock shows weak momentum and poor YTD performance. Social buzz from KOL and contributors is moderate. High risk due to volatility weighs on the overall score.</t>
        </is>
      </c>
    </row>
    <row r="65">
      <c r="A65" s="34" t="inlineStr">
        <is>
          <t>CHYM</t>
        </is>
      </c>
      <c r="B65" s="34" t="n"/>
      <c r="C65" s="34" t="inlineStr">
        <is>
          <t>Neobanking</t>
        </is>
      </c>
      <c r="K65" s="37" t="n"/>
      <c r="L65" s="37" t="n"/>
      <c r="AA65" s="56" t="n">
        <v>35</v>
      </c>
      <c r="AB65" s="56" t="n">
        <v>22</v>
      </c>
      <c r="AC65" s="56" t="n">
        <v>50</v>
      </c>
      <c r="AD65" s="56" t="n">
        <v>70</v>
      </c>
      <c r="AE65" s="56" t="n">
        <v>60</v>
      </c>
      <c r="AF65" s="57" t="inlineStr">
        <is>
          <t>CHYM's neobanking theme has moderate relevance but momentum is weak and risk is high due to volatility. Social buzz is decent from KOLs but overall score is low.</t>
        </is>
      </c>
    </row>
    <row r="66">
      <c r="A66" s="34" t="inlineStr">
        <is>
          <t>DARE</t>
        </is>
      </c>
      <c r="B66" s="34" t="n"/>
      <c r="C66" s="34" t="inlineStr">
        <is>
          <t>Healthcare</t>
        </is>
      </c>
      <c r="K66" s="37" t="n"/>
      <c r="L66" s="37" t="n"/>
      <c r="AA66" s="56" t="n">
        <v>25</v>
      </c>
      <c r="AB66" s="56" t="n">
        <v>20</v>
      </c>
      <c r="AC66" s="56" t="n">
        <v>50</v>
      </c>
      <c r="AD66" s="56" t="n">
        <v>75</v>
      </c>
      <c r="AE66" s="56" t="n">
        <v>50</v>
      </c>
      <c r="AF66" s="57" t="inlineStr">
        <is>
          <t>DARE's healthcare theme is broad but momentum is poor with high risk. Social buzz is moderate but insufficient to offset negatives.</t>
        </is>
      </c>
    </row>
    <row r="67">
      <c r="A67" s="34" t="inlineStr">
        <is>
          <t>PPSI</t>
        </is>
      </c>
      <c r="B67" s="34" t="n"/>
      <c r="C67" s="34" t="inlineStr">
        <is>
          <t>AI Energy</t>
        </is>
      </c>
      <c r="K67" s="37" t="n"/>
      <c r="L67" s="37" t="n"/>
      <c r="AA67" s="56" t="n">
        <v>33</v>
      </c>
      <c r="AB67" s="56" t="n">
        <v>35</v>
      </c>
      <c r="AC67" s="56" t="n">
        <v>70</v>
      </c>
      <c r="AD67" s="56" t="n">
        <v>75</v>
      </c>
      <c r="AE67" s="56" t="n">
        <v>40</v>
      </c>
      <c r="AF67" s="57" t="inlineStr">
        <is>
          <t>PPSI's AI Energy theme is relevant but momentum and YTD performance are weak. Risk is elevated and social buzz is low due to limited KOL presence.</t>
        </is>
      </c>
    </row>
    <row r="68">
      <c r="A68" s="34" t="inlineStr">
        <is>
          <t>RGTI</t>
        </is>
      </c>
      <c r="B68" s="34" t="n"/>
      <c r="C68" s="34" t="inlineStr">
        <is>
          <t>Quantum Computing</t>
        </is>
      </c>
      <c r="K68" s="37" t="n"/>
      <c r="L68" s="37" t="n"/>
      <c r="AA68" s="56" t="n">
        <v>35</v>
      </c>
      <c r="AB68" s="56" t="n">
        <v>27</v>
      </c>
      <c r="AC68" s="56" t="n">
        <v>80</v>
      </c>
      <c r="AD68" s="56" t="n">
        <v>85</v>
      </c>
      <c r="AE68" s="56" t="n">
        <v>65</v>
      </c>
      <c r="AF68" s="57" t="inlineStr">
        <is>
          <t>RGTI is another Quantum Computing player with poor momentum and high risk. Social buzz is decent due to KOLs, but negative performance weighs on score.</t>
        </is>
      </c>
    </row>
    <row r="69">
      <c r="A69" s="34" t="inlineStr">
        <is>
          <t>CRNC</t>
        </is>
      </c>
      <c r="B69" s="34" t="n"/>
      <c r="C69" s="34" t="inlineStr">
        <is>
          <t>Robotaxi</t>
        </is>
      </c>
      <c r="K69" s="37" t="n"/>
      <c r="L69" s="37" t="n"/>
      <c r="AA69" s="56" t="n">
        <v>28</v>
      </c>
      <c r="AB69" s="56" t="n">
        <v>40</v>
      </c>
      <c r="AC69" s="56" t="n">
        <v>60</v>
      </c>
      <c r="AD69" s="56" t="n">
        <v>70</v>
      </c>
      <c r="AE69" s="56" t="n">
        <v>65</v>
      </c>
      <c r="AF69" s="57" t="inlineStr">
        <is>
          <t>CRNC operates in the Robotaxi theme, which is niche but relevant. Momentum is slightly negative but better than many peers. Strong social buzz from Benzinga and Timothy Sykes supports interest, though risk remains elevated.</t>
        </is>
      </c>
    </row>
    <row r="70">
      <c r="A70" s="34" t="inlineStr">
        <is>
          <t>PGNY</t>
        </is>
      </c>
      <c r="B70" s="34" t="n"/>
      <c r="C70" s="34" t="inlineStr">
        <is>
          <t>Healthcare</t>
        </is>
      </c>
      <c r="K70" s="37" t="n"/>
      <c r="L70" s="37" t="n"/>
      <c r="AA70" s="56" t="n">
        <v>35</v>
      </c>
      <c r="AB70" s="56" t="n">
        <v>30</v>
      </c>
      <c r="AC70" s="56" t="n">
        <v>50</v>
      </c>
      <c r="AD70" s="56" t="n">
        <v>70</v>
      </c>
      <c r="AE70" s="56" t="n">
        <v>55</v>
      </c>
      <c r="AF70" s="57" t="inlineStr">
        <is>
          <t>PGNY is in the broader Healthcare theme, which is less trendy compared to AI or Quantum Computing. It has weak momentum with negative YTD and recent performance. Social buzz is moderate but not strong enough to offset the risk and poor momentum.</t>
        </is>
      </c>
    </row>
    <row r="71">
      <c r="A71" s="34" t="inlineStr">
        <is>
          <t>EVLV</t>
        </is>
      </c>
      <c r="B71" s="34" t="n"/>
      <c r="C71" s="34" t="inlineStr">
        <is>
          <t>AI Detector</t>
        </is>
      </c>
      <c r="K71" s="37" t="n"/>
      <c r="L71" s="37" t="n"/>
      <c r="AA71" s="56" t="n">
        <v>28</v>
      </c>
      <c r="AB71" s="56" t="n">
        <v>30</v>
      </c>
      <c r="AC71" s="56" t="n">
        <v>65</v>
      </c>
      <c r="AD71" s="56" t="n">
        <v>70</v>
      </c>
      <c r="AE71" s="56" t="n">
        <v>40</v>
      </c>
      <c r="AF71" s="57" t="inlineStr">
        <is>
          <t>EVLV's AI Detector theme is relevant but momentum is weak and risk high. Social buzz is limited, reducing overall attractiveness.</t>
        </is>
      </c>
    </row>
    <row r="72">
      <c r="A72" s="34" t="inlineStr">
        <is>
          <t>KLAR</t>
        </is>
      </c>
      <c r="B72" s="34" t="n"/>
      <c r="C72" s="34" t="inlineStr">
        <is>
          <t xml:space="preserve">BNPL </t>
        </is>
      </c>
      <c r="K72" s="37" t="n"/>
      <c r="L72" s="37" t="n"/>
      <c r="AA72" s="56" t="n">
        <v>38</v>
      </c>
      <c r="AB72" s="56" t="n">
        <v>65</v>
      </c>
      <c r="AC72" s="56" t="n">
        <v>50</v>
      </c>
      <c r="AD72" s="56" t="n">
        <v>65</v>
      </c>
      <c r="AE72" s="56" t="n">
        <v>70</v>
      </c>
      <c r="AF72" s="57" t="inlineStr">
        <is>
          <t>KLAR is in BNPL, a less trendy theme but shows strong recent momentum and social buzz from notable contributors. Despite poor YTD performance, the positive momentum and social backing improve its overall score with moderate risk.</t>
        </is>
      </c>
    </row>
    <row r="73">
      <c r="A73" s="34" t="inlineStr">
        <is>
          <t>POET</t>
        </is>
      </c>
      <c r="B73" s="34" t="n"/>
      <c r="C73" s="34" t="inlineStr">
        <is>
          <t>Photonics</t>
        </is>
      </c>
      <c r="K73" s="37" t="n"/>
      <c r="L73" s="37" t="n"/>
      <c r="AA73" s="56" t="n">
        <v>50</v>
      </c>
      <c r="AB73" s="56" t="n">
        <v>50</v>
      </c>
      <c r="AC73" s="56" t="n">
        <v>60</v>
      </c>
      <c r="AD73" s="56" t="n">
        <v>55</v>
      </c>
      <c r="AE73" s="56" t="n">
        <v>60</v>
      </c>
      <c r="AF73" s="57" t="inlineStr">
        <is>
          <t>POET's Photonics theme is moderately relevant with decent momentum on specific dates despite negative YTD. Social buzz is supported by KOLs, and risk is moderate due to some volatility.</t>
        </is>
      </c>
    </row>
    <row r="74">
      <c r="A74" s="34" t="inlineStr">
        <is>
          <t>SYM</t>
        </is>
      </c>
      <c r="B74" s="34" t="n"/>
      <c r="C74" s="34" t="inlineStr">
        <is>
          <t>Robotics</t>
        </is>
      </c>
      <c r="K74" s="37" t="n"/>
      <c r="L74" s="37" t="n"/>
      <c r="AA74" s="56" t="n">
        <v>30</v>
      </c>
      <c r="AB74" s="56" t="n">
        <v>35</v>
      </c>
      <c r="AC74" s="56" t="n">
        <v>65</v>
      </c>
      <c r="AD74" s="56" t="n">
        <v>70</v>
      </c>
      <c r="AE74" s="56" t="n">
        <v>55</v>
      </c>
      <c r="AF74" s="57" t="inlineStr">
        <is>
          <t>SYM's robotics theme is relevant but momentum is weak and risk high. Social buzz is moderate due to KOL presence.</t>
        </is>
      </c>
    </row>
    <row r="75">
      <c r="A75" s="34" t="inlineStr">
        <is>
          <t>U</t>
        </is>
      </c>
      <c r="B75" s="34" t="n"/>
      <c r="C75" s="34" t="inlineStr">
        <is>
          <t>AI adtech</t>
        </is>
      </c>
      <c r="K75" s="37" t="n"/>
      <c r="L75" s="37" t="n"/>
      <c r="AA75" s="56" t="n">
        <v>25</v>
      </c>
      <c r="AB75" s="56" t="n">
        <v>20</v>
      </c>
      <c r="AC75" s="56" t="n">
        <v>60</v>
      </c>
      <c r="AD75" s="56" t="n">
        <v>75</v>
      </c>
      <c r="AE75" s="56" t="n">
        <v>60</v>
      </c>
      <c r="AF75" s="57" t="inlineStr">
        <is>
          <t>U is in AI adtech with moderate social buzz but very poor YTD and recent momentum. High volatility leads to elevated risk, limiting its investment attractiveness despite thematic relevance.</t>
        </is>
      </c>
    </row>
    <row r="76">
      <c r="A76" s="34" t="inlineStr">
        <is>
          <t>ENVX</t>
        </is>
      </c>
      <c r="B76" s="34" t="n"/>
      <c r="C76" s="34" t="inlineStr">
        <is>
          <t>Battery</t>
        </is>
      </c>
      <c r="K76" s="37" t="n"/>
      <c r="L76" s="37" t="n"/>
      <c r="AA76" s="56" t="n">
        <v>30</v>
      </c>
      <c r="AB76" s="56" t="n">
        <v>35</v>
      </c>
      <c r="AC76" s="56" t="n">
        <v>55</v>
      </c>
      <c r="AD76" s="56" t="n">
        <v>70</v>
      </c>
      <c r="AE76" s="56" t="n">
        <v>60</v>
      </c>
      <c r="AF76" s="57" t="inlineStr">
        <is>
          <t>ENVX is in the Battery theme, which is relevant but less hot than AI or Quantum Computing. Momentum is weak with negative YTD and recent performance. Social buzz is moderate from known contributors, but risk remains high due to volatility.</t>
        </is>
      </c>
    </row>
    <row r="77">
      <c r="A77" s="34" t="inlineStr">
        <is>
          <t>OPRA</t>
        </is>
      </c>
      <c r="B77" s="34" t="n"/>
      <c r="C77" s="34" t="inlineStr">
        <is>
          <t>AI Distribution</t>
        </is>
      </c>
      <c r="K77" s="37" t="n"/>
      <c r="L77" s="37" t="n"/>
      <c r="AA77" s="56" t="n">
        <v>55</v>
      </c>
      <c r="AB77" s="56" t="n">
        <v>40</v>
      </c>
      <c r="AC77" s="56" t="n">
        <v>70</v>
      </c>
      <c r="AD77" s="56" t="n">
        <v>60</v>
      </c>
      <c r="AE77" s="56" t="n">
        <v>65</v>
      </c>
      <c r="AF77" s="57" t="inlineStr">
        <is>
          <t>OPRA's AI Distribution theme is relevant and supported by active KOLs, contributing to solid social buzz. Momentum is modest with mixed recent performance, and risk is moderate due to some volatility.</t>
        </is>
      </c>
    </row>
    <row r="78">
      <c r="A78" s="34" t="inlineStr">
        <is>
          <t>ALMU</t>
        </is>
      </c>
      <c r="B78" s="34" t="inlineStr">
        <is>
          <t>Semis, Optics &amp; Edge AI</t>
        </is>
      </c>
      <c r="C78" s="34" t="inlineStr">
        <is>
          <t>Photonics</t>
        </is>
      </c>
      <c r="K78" s="37" t="n"/>
      <c r="L78" s="37" t="n"/>
      <c r="AA78" s="56" t="n">
        <v>30</v>
      </c>
      <c r="AB78" s="56" t="n">
        <v>25</v>
      </c>
      <c r="AC78" s="56" t="n">
        <v>55</v>
      </c>
      <c r="AD78" s="56" t="n">
        <v>75</v>
      </c>
      <c r="AE78" s="56" t="n">
        <v>55</v>
      </c>
      <c r="AF78" s="57" t="inlineStr">
        <is>
          <t>ALMU in photonics has a relevant theme but weak momentum and high risk. Social buzz is moderate but insufficient to improve overall score significantly.</t>
        </is>
      </c>
    </row>
    <row r="79">
      <c r="A79" s="34" t="inlineStr">
        <is>
          <t>WRD</t>
        </is>
      </c>
      <c r="B79" s="34" t="n"/>
      <c r="C79" s="34" t="inlineStr">
        <is>
          <t>Robotaxi</t>
        </is>
      </c>
      <c r="K79" s="37" t="n"/>
      <c r="L79" s="37" t="n"/>
      <c r="AA79" s="56" t="n">
        <v>45</v>
      </c>
      <c r="AB79" s="56" t="n">
        <v>55</v>
      </c>
      <c r="AC79" s="56" t="n">
        <v>70</v>
      </c>
      <c r="AD79" s="56" t="n">
        <v>70</v>
      </c>
      <c r="AE79" s="56" t="n">
        <v>60</v>
      </c>
      <c r="AF79" s="57" t="inlineStr">
        <is>
          <t>WRD's Robotaxi theme is relevant and recent momentum is positive, though YTD remains negative. Risk is moderate and social buzz is supported by KOLs.</t>
        </is>
      </c>
    </row>
    <row r="80">
      <c r="A80" s="34" t="inlineStr">
        <is>
          <t>GEMI</t>
        </is>
      </c>
      <c r="B80" s="34" t="inlineStr">
        <is>
          <t>Fintech &amp; Crypto</t>
        </is>
      </c>
      <c r="C80" s="34" t="inlineStr">
        <is>
          <t>Crypto</t>
        </is>
      </c>
      <c r="K80" s="37" t="n"/>
      <c r="L80" s="37" t="n"/>
      <c r="AA80" s="56" t="n">
        <v>45</v>
      </c>
      <c r="AB80" s="56" t="n">
        <v>30</v>
      </c>
      <c r="AC80" s="56" t="n">
        <v>75</v>
      </c>
      <c r="AD80" s="56" t="n">
        <v>80</v>
      </c>
      <c r="AE80" s="56" t="n">
        <v>70</v>
      </c>
      <c r="AF80" s="57" t="inlineStr">
        <is>
          <t>GEMI operates in the crypto theme, which remains relevant but has seen negative momentum YTD and last week. The crypto sector's volatility contributes to a high risk score. The presence of notable KOLs provides decent social buzz.</t>
        </is>
      </c>
    </row>
    <row r="81">
      <c r="A81" s="34" t="inlineStr">
        <is>
          <t>AMPL</t>
        </is>
      </c>
      <c r="B81" s="34" t="n"/>
      <c r="C81" s="34" t="inlineStr">
        <is>
          <t>AI Agent</t>
        </is>
      </c>
      <c r="K81" s="37" t="n"/>
      <c r="L81" s="37" t="n"/>
    </row>
    <row r="82">
      <c r="A82" s="34" t="inlineStr">
        <is>
          <t>SNAP</t>
        </is>
      </c>
      <c r="B82" s="34" t="n"/>
      <c r="C82" s="34" t="inlineStr">
        <is>
          <t>AI Distribution</t>
        </is>
      </c>
      <c r="K82" s="37" t="n"/>
      <c r="L82" s="37" t="n"/>
      <c r="AA82" s="56" t="n">
        <v>22</v>
      </c>
      <c r="AB82" s="56" t="n">
        <v>10</v>
      </c>
      <c r="AC82" s="56" t="n">
        <v>65</v>
      </c>
      <c r="AD82" s="56" t="n">
        <v>80</v>
      </c>
      <c r="AE82" s="56" t="n">
        <v>60</v>
      </c>
      <c r="AF82" s="57" t="inlineStr">
        <is>
          <t>SNAP is in AI Distribution with significant social buzz and KOL backing. However, it has the worst YTD performance and recent momentum, leading to high risk and low overall score despite thematic relevance.</t>
        </is>
      </c>
    </row>
    <row r="83">
      <c r="A83" s="34" t="inlineStr">
        <is>
          <t>PATH</t>
        </is>
      </c>
      <c r="B83" s="34" t="n"/>
      <c r="C83" s="34" t="inlineStr">
        <is>
          <t>AI Agent</t>
        </is>
      </c>
      <c r="K83" s="37" t="n"/>
      <c r="L83" s="37" t="n"/>
      <c r="AA83" s="56" t="n">
        <v>27</v>
      </c>
      <c r="AB83" s="56" t="n">
        <v>28</v>
      </c>
      <c r="AC83" s="56" t="n">
        <v>70</v>
      </c>
      <c r="AD83" s="56" t="n">
        <v>75</v>
      </c>
      <c r="AE83" s="56" t="n">
        <v>60</v>
      </c>
      <c r="AF83" s="57" t="inlineStr">
        <is>
          <t>PATH has a strong AI Agent theme and decent social buzz but suffers from poor momentum and very high risk, limiting investment appeal.</t>
        </is>
      </c>
    </row>
    <row r="84">
      <c r="A84" s="34" t="inlineStr">
        <is>
          <t>CAI</t>
        </is>
      </c>
      <c r="B84" s="34" t="n"/>
      <c r="C84" s="34" t="inlineStr">
        <is>
          <t>AI Medicine</t>
        </is>
      </c>
      <c r="K84" s="37" t="n"/>
      <c r="L84" s="37" t="n"/>
      <c r="AA84" s="56" t="n">
        <v>40</v>
      </c>
      <c r="AB84" s="56" t="n">
        <v>30</v>
      </c>
      <c r="AC84" s="56" t="n">
        <v>70</v>
      </c>
      <c r="AD84" s="56" t="n">
        <v>70</v>
      </c>
      <c r="AE84" s="56" t="n">
        <v>65</v>
      </c>
      <c r="AF84" s="57" t="inlineStr">
        <is>
          <t>CAI operates in AI Medicine with a strong thematic relevance but poor momentum and negative YTD performance. The presence of both KOL and top contributor social buzz supports investor interest, though high volatility increases risk.</t>
        </is>
      </c>
    </row>
    <row r="85">
      <c r="A85" s="34" t="inlineStr">
        <is>
          <t>COUR</t>
        </is>
      </c>
      <c r="B85" s="34" t="n"/>
      <c r="C85" s="34" t="inlineStr">
        <is>
          <t>AI Education</t>
        </is>
      </c>
      <c r="K85" s="37" t="n"/>
      <c r="L85" s="37" t="n"/>
      <c r="AA85" s="56" t="n">
        <v>42</v>
      </c>
      <c r="AB85" s="56" t="n">
        <v>35</v>
      </c>
      <c r="AC85" s="56" t="n">
        <v>65</v>
      </c>
      <c r="AD85" s="56" t="n">
        <v>60</v>
      </c>
      <c r="AE85" s="56" t="n">
        <v>60</v>
      </c>
      <c r="AF85" s="57" t="inlineStr">
        <is>
          <t>COUR's momentum is weak but slightly better than others with AI Education theme gaining traction. Moderate social buzz from a known KOL supports interest. Risk is moderate given volatility and sector uncertainty.</t>
        </is>
      </c>
    </row>
    <row r="86">
      <c r="A86" s="34" t="inlineStr">
        <is>
          <t>SDGR</t>
        </is>
      </c>
      <c r="B86" s="34" t="n"/>
      <c r="C86" s="34" t="inlineStr">
        <is>
          <t>AI Medicine</t>
        </is>
      </c>
      <c r="K86" s="37" t="n"/>
      <c r="L86" s="37" t="n"/>
      <c r="AA86" s="56" t="n">
        <v>48</v>
      </c>
      <c r="AB86" s="56" t="n">
        <v>45</v>
      </c>
      <c r="AC86" s="56" t="n">
        <v>70</v>
      </c>
      <c r="AD86" s="56" t="n">
        <v>65</v>
      </c>
      <c r="AE86" s="56" t="n">
        <v>55</v>
      </c>
      <c r="AF86" s="57" t="inlineStr">
        <is>
          <t>SDGR shares the AI Medicine theme with SLP and shows similar momentum characteristics with a positive specific date performance but negative YTD. The theme remains strong, and moderate social buzz from a KOL supports interest. Risk remains elevated due to volatility.</t>
        </is>
      </c>
    </row>
    <row r="87">
      <c r="A87" s="34" t="inlineStr">
        <is>
          <t>SUUN</t>
        </is>
      </c>
      <c r="B87" s="34" t="inlineStr">
        <is>
          <t>Aerospace</t>
        </is>
      </c>
      <c r="C87" s="34" t="inlineStr">
        <is>
          <t>Aerospace</t>
        </is>
      </c>
      <c r="K87" s="37" t="n"/>
      <c r="L87" s="37" t="n"/>
      <c r="AA87" s="56" t="n">
        <v>25</v>
      </c>
      <c r="AB87" s="56" t="n">
        <v>15</v>
      </c>
      <c r="AC87" s="56" t="n">
        <v>50</v>
      </c>
      <c r="AD87" s="56" t="n">
        <v>75</v>
      </c>
      <c r="AE87" s="56" t="n">
        <v>10</v>
      </c>
      <c r="AF87" s="57" t="inlineStr">
        <is>
          <t>SUUN is in the Aerospace sector, which remains relevant but the stock has shown very weak momentum with a significant YTD decline of -64.43%. Lack of KOL backing and negative recent performance contribute to low social buzz and momentum scores. High volatility and poor recent returns increase the risk score.</t>
        </is>
      </c>
    </row>
    <row r="88">
      <c r="A88" s="34" t="inlineStr">
        <is>
          <t>QBTS</t>
        </is>
      </c>
      <c r="B88" s="34" t="n"/>
      <c r="C88" s="34" t="inlineStr">
        <is>
          <t>Quantum Computing</t>
        </is>
      </c>
      <c r="K88" s="37" t="n"/>
      <c r="L88" s="37" t="n"/>
      <c r="AA88" s="56" t="n">
        <v>35</v>
      </c>
      <c r="AB88" s="56" t="n">
        <v>20</v>
      </c>
      <c r="AC88" s="56" t="n">
        <v>75</v>
      </c>
      <c r="AD88" s="56" t="n">
        <v>75</v>
      </c>
      <c r="AE88" s="56" t="n">
        <v>30</v>
      </c>
      <c r="AF88" s="57" t="inlineStr">
        <is>
          <t>QBTS is a Quantum Computing stock with strong thematic relevance but suffers from very poor momentum and the worst YTD performance among peers. Lack of KOL or contributor social buzz lowers social score. High volatility and risk further reduce investment attractiveness.</t>
        </is>
      </c>
    </row>
    <row r="89">
      <c r="A89" s="34" t="inlineStr">
        <is>
          <t>VELO</t>
        </is>
      </c>
      <c r="B89" s="34" t="n"/>
      <c r="C89" s="34" t="inlineStr">
        <is>
          <t>Aerospace</t>
        </is>
      </c>
      <c r="K89" s="37" t="n"/>
      <c r="L89" s="37" t="n"/>
      <c r="AA89" s="56" t="n">
        <v>65</v>
      </c>
      <c r="AB89" s="56" t="n">
        <v>75</v>
      </c>
      <c r="AC89" s="56" t="n">
        <v>75</v>
      </c>
      <c r="AD89" s="56" t="n">
        <v>70</v>
      </c>
      <c r="AE89" s="56" t="n">
        <v>70</v>
      </c>
      <c r="AF89" s="57" t="inlineStr">
        <is>
          <t>VELO in aerospace shows strong recent momentum with a big spike, solid thematic relevance, and good social buzz from KOLs. Risk is elevated due to volatility but overall attractiveness is high.</t>
        </is>
      </c>
    </row>
    <row r="90">
      <c r="A90" s="34" t="inlineStr">
        <is>
          <t>AMBA</t>
        </is>
      </c>
      <c r="B90" s="34" t="inlineStr">
        <is>
          <t>Semis, Optics &amp; Edge AI</t>
        </is>
      </c>
      <c r="C90" s="34" t="inlineStr">
        <is>
          <t>Drone</t>
        </is>
      </c>
      <c r="K90" s="37" t="n"/>
      <c r="L90" s="37" t="n"/>
      <c r="AA90" s="56" t="n">
        <v>30</v>
      </c>
      <c r="AB90" s="56" t="n">
        <v>40</v>
      </c>
      <c r="AC90" s="56" t="n">
        <v>65</v>
      </c>
      <c r="AD90" s="56" t="n">
        <v>75</v>
      </c>
      <c r="AE90" s="56" t="n">
        <v>55</v>
      </c>
      <c r="AF90" s="57" t="inlineStr">
        <is>
          <t>AMBA in Drone and Edge AI has weak momentum and high risk. Thematic relevance is moderate and social buzz is supported by KOLs.</t>
        </is>
      </c>
    </row>
    <row r="91">
      <c r="A91" s="34" t="inlineStr">
        <is>
          <t>HROW</t>
        </is>
      </c>
      <c r="B91" s="34" t="n"/>
      <c r="C91" s="34" t="inlineStr">
        <is>
          <t>Healthcare</t>
        </is>
      </c>
      <c r="K91" s="37" t="n"/>
      <c r="L91" s="37" t="n"/>
      <c r="AA91" s="56" t="n">
        <v>28</v>
      </c>
      <c r="AB91" s="56" t="n">
        <v>20</v>
      </c>
      <c r="AC91" s="56" t="n">
        <v>55</v>
      </c>
      <c r="AD91" s="56" t="n">
        <v>80</v>
      </c>
      <c r="AE91" s="56" t="n">
        <v>50</v>
      </c>
      <c r="AF91" s="57" t="inlineStr">
        <is>
          <t>HROW in Healthcare has poor momentum and high risk. Thematic relevance is moderate, supported by some KOL social buzz.</t>
        </is>
      </c>
    </row>
    <row r="92">
      <c r="A92" s="34" t="inlineStr">
        <is>
          <t>HIMS</t>
        </is>
      </c>
      <c r="B92" s="34" t="n"/>
      <c r="C92" s="34" t="inlineStr">
        <is>
          <t>Healthcare</t>
        </is>
      </c>
      <c r="K92" s="37" t="n"/>
      <c r="L92" s="37" t="n"/>
      <c r="AA92" s="56" t="n">
        <v>55</v>
      </c>
      <c r="AB92" s="56" t="n">
        <v>70</v>
      </c>
      <c r="AC92" s="56" t="n">
        <v>60</v>
      </c>
      <c r="AD92" s="56" t="n">
        <v>70</v>
      </c>
      <c r="AE92" s="56" t="n">
        <v>75</v>
      </c>
      <c r="AF92" s="57" t="inlineStr">
        <is>
          <t>HIMS shows strong recent momentum despite negative YTD returns. Healthcare theme is stable but less trendy. High social buzz from KOLs supports attractiveness.</t>
        </is>
      </c>
    </row>
    <row r="93">
      <c r="A93" s="34" t="inlineStr">
        <is>
          <t>ETOR</t>
        </is>
      </c>
      <c r="B93" s="34" t="inlineStr">
        <is>
          <t>Fintech &amp; Crypto</t>
        </is>
      </c>
      <c r="C93" s="34" t="inlineStr">
        <is>
          <t>Crypto</t>
        </is>
      </c>
      <c r="K93" s="37" t="n"/>
      <c r="L93" s="37" t="n"/>
      <c r="AA93" s="56" t="n">
        <v>45</v>
      </c>
      <c r="AB93" s="56" t="n">
        <v>30</v>
      </c>
      <c r="AC93" s="56" t="n">
        <v>70</v>
      </c>
      <c r="AD93" s="56" t="n">
        <v>65</v>
      </c>
      <c r="AE93" s="56" t="n">
        <v>70</v>
      </c>
      <c r="AF93" s="57" t="inlineStr">
        <is>
          <t>ETOR has negative momentum but less severe than peers. Crypto remains a strong thematic play in fintech &amp; crypto sectors. Good social buzz from notable KOLs supports interest, though risk remains elevated due to volatility.</t>
        </is>
      </c>
    </row>
    <row r="94">
      <c r="A94" s="34" t="inlineStr">
        <is>
          <t>MBLY</t>
        </is>
      </c>
      <c r="B94" s="34" t="n"/>
      <c r="C94" s="34" t="inlineStr">
        <is>
          <t>Robotics</t>
        </is>
      </c>
      <c r="K94" s="37" t="n"/>
      <c r="L94" s="37" t="n"/>
      <c r="AA94" s="56" t="n">
        <v>35</v>
      </c>
      <c r="AB94" s="56" t="n">
        <v>25</v>
      </c>
      <c r="AC94" s="56" t="n">
        <v>60</v>
      </c>
      <c r="AD94" s="56" t="n">
        <v>75</v>
      </c>
      <c r="AE94" s="56" t="n">
        <v>70</v>
      </c>
      <c r="AF94" s="57" t="inlineStr">
        <is>
          <t>MBLY is in the Robotics theme, which is relevant but less hot than AI or Quantum Computing. The stock shows weak momentum with steep YTD losses and recent negative performance. Strong social buzz from multiple contributors is a positive, but high volatility and risk weigh down the overall score.</t>
        </is>
      </c>
    </row>
    <row r="95">
      <c r="A95" s="34" t="inlineStr">
        <is>
          <t>RBRK</t>
        </is>
      </c>
      <c r="B95" s="34" t="n"/>
      <c r="C95" s="34" t="inlineStr">
        <is>
          <t xml:space="preserve">Cybersecurity </t>
        </is>
      </c>
      <c r="K95" s="37" t="n"/>
      <c r="L95" s="37" t="n"/>
      <c r="AA95" s="56" t="n">
        <v>37</v>
      </c>
      <c r="AB95" s="56" t="n">
        <v>32</v>
      </c>
      <c r="AC95" s="56" t="n">
        <v>65</v>
      </c>
      <c r="AD95" s="56" t="n">
        <v>75</v>
      </c>
      <c r="AE95" s="56" t="n">
        <v>50</v>
      </c>
      <c r="AF95" s="57" t="inlineStr">
        <is>
          <t>RBRK in Cybersecurity has moderate thematic relevance but weak momentum and high risk. Social buzz is moderate with some KOL presence.</t>
        </is>
      </c>
    </row>
    <row r="96">
      <c r="A96" s="34" t="inlineStr">
        <is>
          <t>CRCL</t>
        </is>
      </c>
      <c r="B96" s="34" t="inlineStr">
        <is>
          <t>Fintech &amp; Crypto</t>
        </is>
      </c>
      <c r="C96" s="34" t="inlineStr">
        <is>
          <t>Stablecoin</t>
        </is>
      </c>
      <c r="K96" s="37" t="n"/>
      <c r="L96" s="37" t="n"/>
      <c r="AA96" s="56" t="n">
        <v>78</v>
      </c>
      <c r="AB96" s="56" t="n">
        <v>75</v>
      </c>
      <c r="AC96" s="56" t="n">
        <v>70</v>
      </c>
      <c r="AD96" s="56" t="n">
        <v>60</v>
      </c>
      <c r="AE96" s="56" t="n">
        <v>75</v>
      </c>
      <c r="AF96" s="57" t="inlineStr">
        <is>
          <t>CRCL benefits from a strong thematic play in stablecoins within fintech &amp; crypto, with solid YTD and weekly gains plus a very strong specific date performance. Good KOL support boosts social buzz. Volatility is moderate, resulting in a medium risk score.</t>
        </is>
      </c>
    </row>
    <row r="97">
      <c r="A97" s="34" t="n"/>
      <c r="B97" s="34" t="n"/>
      <c r="C97" s="34" t="n"/>
      <c r="K97" s="37" t="n"/>
      <c r="L97" s="37" t="n"/>
    </row>
    <row r="98">
      <c r="A98" s="34" t="n"/>
      <c r="B98" s="34" t="n"/>
      <c r="C98" s="34" t="n"/>
      <c r="K98" s="37" t="n"/>
      <c r="L98" s="37" t="n"/>
    </row>
    <row r="99">
      <c r="A99" s="34" t="n"/>
      <c r="B99" s="34" t="n"/>
      <c r="C99" s="34" t="n"/>
      <c r="K99" s="37" t="n"/>
      <c r="L99" s="37" t="n"/>
    </row>
    <row r="100">
      <c r="A100" s="34" t="n"/>
      <c r="B100" s="34" t="n"/>
      <c r="C100" s="34" t="n"/>
      <c r="K100" s="37" t="n"/>
      <c r="L100" s="37" t="n"/>
    </row>
    <row r="101">
      <c r="A101" s="34" t="n"/>
      <c r="B101" s="34" t="n"/>
      <c r="C101" s="34" t="n"/>
      <c r="K101" s="37" t="n"/>
      <c r="L101" s="37" t="n"/>
    </row>
    <row r="102">
      <c r="A102" s="34" t="n"/>
      <c r="B102" s="34" t="n"/>
      <c r="C102" s="34" t="n"/>
      <c r="K102" s="37" t="n"/>
      <c r="L102" s="37" t="n"/>
    </row>
    <row r="103">
      <c r="A103" s="34" t="n"/>
      <c r="B103" s="34" t="n"/>
      <c r="C103" s="34" t="n"/>
      <c r="K103" s="37" t="n"/>
      <c r="L103" s="37" t="n"/>
    </row>
    <row r="104">
      <c r="A104" s="34" t="n"/>
      <c r="B104" s="34" t="n"/>
      <c r="C104" s="34" t="n"/>
      <c r="K104" s="37" t="n"/>
      <c r="L104" s="37" t="n"/>
    </row>
    <row r="105">
      <c r="A105" s="34" t="n"/>
      <c r="B105" s="34" t="n"/>
      <c r="C105" s="34" t="n"/>
      <c r="K105" s="37" t="n"/>
      <c r="L105" s="37" t="n"/>
    </row>
    <row r="106">
      <c r="A106" s="34" t="n"/>
      <c r="B106" s="34" t="n"/>
      <c r="C106" s="34" t="n"/>
      <c r="K106" s="37" t="n"/>
      <c r="L106" s="37" t="n"/>
    </row>
    <row r="107">
      <c r="A107" s="34" t="n"/>
      <c r="B107" s="34" t="n"/>
      <c r="C107" s="34" t="n"/>
      <c r="K107" s="37" t="n"/>
      <c r="L107" s="37" t="n"/>
    </row>
    <row r="108">
      <c r="A108" s="34" t="n"/>
      <c r="B108" s="34" t="n"/>
      <c r="C108" s="34" t="n"/>
      <c r="K108" s="37" t="n"/>
      <c r="L108" s="37" t="n"/>
    </row>
    <row r="109">
      <c r="A109" s="34" t="n"/>
      <c r="B109" s="34" t="n"/>
      <c r="C109" s="34" t="n"/>
      <c r="K109" s="37" t="n"/>
      <c r="L109" s="37" t="n"/>
    </row>
    <row r="110">
      <c r="A110" s="34" t="n"/>
      <c r="B110" s="34" t="n"/>
      <c r="C110" s="34" t="n"/>
      <c r="K110" s="37" t="n"/>
      <c r="L110" s="37" t="n"/>
    </row>
    <row r="111">
      <c r="A111" s="34" t="n"/>
      <c r="B111" s="34" t="n"/>
      <c r="C111" s="34" t="n"/>
      <c r="K111" s="37" t="n"/>
      <c r="L111" s="37" t="n"/>
    </row>
    <row r="112">
      <c r="A112" s="34" t="n"/>
      <c r="B112" s="34" t="n"/>
      <c r="C112" s="34" t="n"/>
      <c r="K112" s="37" t="n"/>
      <c r="L112" s="37" t="n"/>
    </row>
    <row r="113">
      <c r="A113" s="34" t="n"/>
      <c r="B113" s="34" t="n"/>
      <c r="C113" s="34" t="n"/>
      <c r="K113" s="37" t="n"/>
      <c r="L113" s="37" t="n"/>
    </row>
    <row r="114">
      <c r="A114" s="34" t="n"/>
      <c r="B114" s="34" t="n"/>
      <c r="C114" s="34" t="n"/>
      <c r="K114" s="37" t="n"/>
      <c r="L114" s="37" t="n"/>
    </row>
    <row r="115">
      <c r="A115" s="34" t="n"/>
      <c r="B115" s="34" t="n"/>
      <c r="C115" s="34" t="n"/>
      <c r="K115" s="37" t="n"/>
      <c r="L115" s="37" t="n"/>
    </row>
    <row r="116">
      <c r="A116" s="34" t="n"/>
      <c r="B116" s="34" t="n"/>
      <c r="C116" s="34" t="n"/>
      <c r="K116" s="37" t="n"/>
      <c r="L116" s="37" t="n"/>
    </row>
    <row r="117">
      <c r="A117" s="34" t="n"/>
      <c r="B117" s="34" t="n"/>
      <c r="C117" s="34" t="n"/>
      <c r="K117" s="37" t="n"/>
      <c r="L117" s="37" t="n"/>
    </row>
    <row r="118">
      <c r="A118" s="34" t="n"/>
      <c r="B118" s="34" t="n"/>
      <c r="C118" s="34" t="n"/>
      <c r="K118" s="37" t="n"/>
      <c r="L118" s="37" t="n"/>
    </row>
    <row r="119">
      <c r="A119" s="34" t="n"/>
      <c r="B119" s="34" t="n"/>
      <c r="C119" s="34" t="n"/>
      <c r="K119" s="37" t="n"/>
      <c r="L119" s="37" t="n"/>
    </row>
    <row r="120">
      <c r="A120" s="34" t="n"/>
      <c r="B120" s="34" t="n"/>
      <c r="C120" s="34" t="n"/>
      <c r="K120" s="37" t="n"/>
      <c r="L120" s="37" t="n"/>
    </row>
    <row r="121">
      <c r="A121" s="34" t="n"/>
      <c r="B121" s="34" t="n"/>
      <c r="C121" s="34" t="n"/>
      <c r="K121" s="37" t="n"/>
      <c r="L121" s="37" t="n"/>
    </row>
    <row r="122">
      <c r="A122" s="34" t="n"/>
      <c r="B122" s="34" t="n"/>
      <c r="C122" s="34" t="n"/>
      <c r="K122" s="37" t="n"/>
      <c r="L122" s="37" t="n"/>
    </row>
    <row r="123">
      <c r="A123" s="34" t="n"/>
      <c r="B123" s="34" t="n"/>
      <c r="C123" s="34" t="n"/>
      <c r="K123" s="37" t="n"/>
      <c r="L123" s="37" t="n"/>
    </row>
    <row r="124">
      <c r="A124" s="34" t="n"/>
      <c r="B124" s="34" t="n"/>
      <c r="C124" s="34" t="n"/>
      <c r="K124" s="37" t="n"/>
      <c r="L124" s="37" t="n"/>
    </row>
    <row r="125">
      <c r="A125" s="34" t="n"/>
      <c r="B125" s="34" t="n"/>
      <c r="C125" s="34" t="n"/>
      <c r="K125" s="37" t="n"/>
      <c r="L125" s="37" t="n"/>
    </row>
    <row r="126">
      <c r="A126" s="34" t="n"/>
      <c r="B126" s="34" t="n"/>
      <c r="C126" s="34" t="n"/>
      <c r="K126" s="37" t="n"/>
      <c r="L126" s="37" t="n"/>
    </row>
    <row r="127">
      <c r="A127" s="34" t="n"/>
      <c r="B127" s="34" t="n"/>
      <c r="C127" s="34" t="n"/>
      <c r="K127" s="37" t="n"/>
      <c r="L127" s="37" t="n"/>
    </row>
    <row r="128">
      <c r="A128" s="34" t="n"/>
      <c r="B128" s="34" t="n"/>
      <c r="C128" s="34" t="n"/>
      <c r="K128" s="37" t="n"/>
      <c r="L128" s="37" t="n"/>
    </row>
    <row r="129">
      <c r="A129" s="34" t="n"/>
      <c r="B129" s="34" t="n"/>
      <c r="C129" s="34" t="n"/>
      <c r="K129" s="37" t="n"/>
      <c r="L129" s="37" t="n"/>
    </row>
    <row r="130">
      <c r="A130" s="34" t="n"/>
      <c r="B130" s="34" t="n"/>
      <c r="C130" s="34" t="n"/>
      <c r="K130" s="37" t="n"/>
      <c r="L130" s="37" t="n"/>
    </row>
    <row r="131">
      <c r="A131" s="34" t="n"/>
      <c r="B131" s="34" t="n"/>
      <c r="C131" s="34" t="n"/>
      <c r="K131" s="37" t="n"/>
      <c r="L131" s="37" t="n"/>
    </row>
    <row r="132">
      <c r="A132" s="34" t="n"/>
      <c r="B132" s="34" t="n"/>
      <c r="C132" s="34" t="n"/>
      <c r="K132" s="37" t="n"/>
      <c r="L132" s="37" t="n"/>
    </row>
    <row r="133">
      <c r="A133" s="34" t="n"/>
      <c r="B133" s="34" t="n"/>
      <c r="C133" s="34" t="n"/>
      <c r="K133" s="37" t="n"/>
      <c r="L133" s="37" t="n"/>
    </row>
    <row r="134">
      <c r="A134" s="34" t="n"/>
      <c r="B134" s="34" t="n"/>
      <c r="C134" s="34" t="n"/>
      <c r="K134" s="37" t="n"/>
      <c r="L134" s="37" t="n"/>
    </row>
    <row r="135">
      <c r="A135" s="34" t="n"/>
      <c r="B135" s="34" t="n"/>
      <c r="C135" s="34" t="n"/>
      <c r="K135" s="37" t="n"/>
      <c r="L135" s="37" t="n"/>
    </row>
    <row r="136">
      <c r="A136" s="34" t="n"/>
      <c r="B136" s="34" t="n"/>
      <c r="C136" s="34" t="n"/>
      <c r="K136" s="37" t="n"/>
      <c r="L136" s="37" t="n"/>
    </row>
    <row r="137">
      <c r="A137" s="34" t="n"/>
      <c r="B137" s="34" t="n"/>
      <c r="C137" s="34" t="n"/>
      <c r="K137" s="37" t="n"/>
      <c r="L137" s="37" t="n"/>
    </row>
    <row r="138">
      <c r="A138" s="34" t="n"/>
      <c r="B138" s="34" t="n"/>
      <c r="C138" s="34" t="n"/>
      <c r="K138" s="37" t="n"/>
      <c r="L138" s="37" t="n"/>
    </row>
    <row r="139">
      <c r="A139" s="34" t="n"/>
      <c r="B139" s="34" t="n"/>
      <c r="C139" s="34" t="n"/>
      <c r="K139" s="37" t="n"/>
      <c r="L139" s="37" t="n"/>
    </row>
    <row r="140">
      <c r="A140" s="34" t="n"/>
      <c r="B140" s="34" t="n"/>
      <c r="C140" s="34" t="n"/>
      <c r="K140" s="37" t="n"/>
      <c r="L140" s="37" t="n"/>
    </row>
    <row r="141">
      <c r="A141" s="34" t="n"/>
      <c r="B141" s="34" t="n"/>
      <c r="C141" s="34" t="n"/>
      <c r="K141" s="37" t="n"/>
      <c r="L141" s="37" t="n"/>
    </row>
    <row r="142">
      <c r="A142" s="34" t="n"/>
      <c r="B142" s="34" t="n"/>
      <c r="C142" s="34" t="n"/>
      <c r="K142" s="37" t="n"/>
      <c r="L142" s="37" t="n"/>
    </row>
    <row r="143">
      <c r="A143" s="34" t="n"/>
      <c r="B143" s="34" t="n"/>
      <c r="C143" s="34" t="n"/>
      <c r="K143" s="37" t="n"/>
      <c r="L143" s="37" t="n"/>
    </row>
    <row r="144">
      <c r="A144" s="34" t="n"/>
      <c r="B144" s="34" t="n"/>
      <c r="C144" s="34" t="n"/>
      <c r="K144" s="37" t="n"/>
      <c r="L144" s="37" t="n"/>
    </row>
    <row r="145">
      <c r="A145" s="34" t="n"/>
      <c r="B145" s="34" t="n"/>
      <c r="C145" s="34" t="n"/>
      <c r="K145" s="37" t="n"/>
      <c r="L145" s="37" t="n"/>
    </row>
    <row r="146">
      <c r="A146" s="34" t="n"/>
      <c r="B146" s="34" t="n"/>
      <c r="C146" s="34" t="n"/>
      <c r="K146" s="37" t="n"/>
      <c r="L146" s="37" t="n"/>
    </row>
    <row r="147">
      <c r="A147" s="34" t="n"/>
      <c r="B147" s="34" t="n"/>
      <c r="C147" s="34" t="n"/>
      <c r="K147" s="37" t="n"/>
      <c r="L147" s="37" t="n"/>
    </row>
    <row r="148">
      <c r="A148" s="34" t="n"/>
      <c r="B148" s="34" t="n"/>
      <c r="C148" s="34" t="n"/>
      <c r="K148" s="37" t="n"/>
      <c r="L148" s="37" t="n"/>
    </row>
    <row r="149">
      <c r="A149" s="34" t="n"/>
      <c r="B149" s="34" t="n"/>
      <c r="C149" s="34" t="n"/>
      <c r="K149" s="37" t="n"/>
      <c r="L149" s="37" t="n"/>
    </row>
    <row r="150">
      <c r="A150" s="34" t="n"/>
      <c r="B150" s="34" t="n"/>
      <c r="C150" s="34" t="n"/>
      <c r="K150" s="37" t="n"/>
      <c r="L150" s="37" t="n"/>
    </row>
    <row r="151">
      <c r="A151" s="34" t="n"/>
      <c r="B151" s="34" t="n"/>
      <c r="C151" s="34" t="n"/>
      <c r="K151" s="37" t="n"/>
      <c r="L151" s="37" t="n"/>
    </row>
    <row r="152">
      <c r="A152" s="34" t="n"/>
      <c r="B152" s="34" t="n"/>
      <c r="C152" s="34" t="n"/>
      <c r="K152" s="37" t="n"/>
      <c r="L152" s="37" t="n"/>
    </row>
    <row r="153">
      <c r="A153" s="34" t="n"/>
      <c r="B153" s="34" t="n"/>
      <c r="C153" s="34" t="n"/>
      <c r="K153" s="37" t="n"/>
      <c r="L153" s="37" t="n"/>
    </row>
    <row r="154">
      <c r="A154" s="34" t="n"/>
      <c r="B154" s="34" t="n"/>
      <c r="C154" s="34" t="n"/>
      <c r="K154" s="37" t="n"/>
      <c r="L154" s="37" t="n"/>
    </row>
    <row r="155">
      <c r="A155" s="34" t="n"/>
      <c r="B155" s="34" t="n"/>
      <c r="C155" s="34" t="n"/>
      <c r="K155" s="37" t="n"/>
      <c r="L155" s="37" t="n"/>
    </row>
    <row r="156">
      <c r="A156" s="34" t="n"/>
      <c r="B156" s="34" t="n"/>
      <c r="C156" s="34" t="n"/>
      <c r="K156" s="37" t="n"/>
      <c r="L156" s="37" t="n"/>
    </row>
    <row r="157">
      <c r="A157" s="34" t="n"/>
      <c r="B157" s="34" t="n"/>
      <c r="C157" s="34" t="n"/>
      <c r="K157" s="37" t="n"/>
      <c r="L157" s="37" t="n"/>
    </row>
    <row r="158">
      <c r="A158" s="34" t="n"/>
      <c r="B158" s="34" t="n"/>
      <c r="C158" s="34" t="n"/>
      <c r="K158" s="37" t="n"/>
      <c r="L158" s="37" t="n"/>
    </row>
    <row r="159">
      <c r="A159" s="34" t="n"/>
      <c r="B159" s="34" t="n"/>
      <c r="C159" s="34" t="n"/>
      <c r="K159" s="37" t="n"/>
      <c r="L159" s="37" t="n"/>
    </row>
    <row r="160">
      <c r="A160" s="34" t="n"/>
      <c r="B160" s="34" t="n"/>
      <c r="C160" s="34" t="n"/>
      <c r="K160" s="37" t="n"/>
      <c r="L160" s="37" t="n"/>
    </row>
    <row r="161">
      <c r="A161" s="34" t="n"/>
      <c r="B161" s="34" t="n"/>
      <c r="C161" s="34" t="n"/>
      <c r="K161" s="37" t="n"/>
      <c r="L161" s="37" t="n"/>
    </row>
    <row r="162">
      <c r="A162" s="34" t="n"/>
      <c r="B162" s="34" t="n"/>
      <c r="C162" s="34" t="n"/>
      <c r="K162" s="37" t="n"/>
      <c r="L162" s="37" t="n"/>
    </row>
    <row r="163">
      <c r="A163" s="34" t="n"/>
      <c r="B163" s="34" t="n"/>
      <c r="C163" s="34" t="n"/>
      <c r="K163" s="37" t="n"/>
      <c r="L163" s="37" t="n"/>
    </row>
    <row r="164">
      <c r="A164" s="34" t="n"/>
      <c r="B164" s="34" t="n"/>
      <c r="C164" s="34" t="n"/>
      <c r="K164" s="37" t="n"/>
      <c r="L164" s="37" t="n"/>
    </row>
    <row r="165">
      <c r="A165" s="34" t="n"/>
      <c r="B165" s="34" t="n"/>
      <c r="C165" s="34" t="n"/>
      <c r="K165" s="37" t="n"/>
      <c r="L165" s="37" t="n"/>
    </row>
    <row r="166">
      <c r="A166" s="34" t="n"/>
      <c r="B166" s="34" t="n"/>
      <c r="C166" s="34" t="n"/>
      <c r="K166" s="37" t="n"/>
      <c r="L166" s="37" t="n"/>
    </row>
    <row r="167">
      <c r="A167" s="34" t="n"/>
      <c r="B167" s="34" t="n"/>
      <c r="C167" s="34" t="n"/>
      <c r="K167" s="37" t="n"/>
      <c r="L167" s="37" t="n"/>
    </row>
    <row r="168">
      <c r="A168" s="34" t="n"/>
      <c r="B168" s="34" t="n"/>
      <c r="C168" s="34" t="n"/>
      <c r="K168" s="37" t="n"/>
      <c r="L168" s="37" t="n"/>
    </row>
    <row r="169">
      <c r="A169" s="34" t="n"/>
      <c r="B169" s="34" t="n"/>
      <c r="C169" s="34" t="n"/>
      <c r="K169" s="37" t="n"/>
      <c r="L169" s="37" t="n"/>
    </row>
    <row r="170">
      <c r="A170" s="34" t="n"/>
      <c r="B170" s="34" t="n"/>
      <c r="C170" s="34" t="n"/>
      <c r="K170" s="37" t="n"/>
      <c r="L170" s="37" t="n"/>
    </row>
    <row r="171">
      <c r="A171" s="34" t="n"/>
      <c r="B171" s="34" t="n"/>
      <c r="C171" s="34" t="n"/>
      <c r="K171" s="37" t="n"/>
      <c r="L171" s="37" t="n"/>
    </row>
    <row r="172">
      <c r="A172" s="34" t="n"/>
      <c r="B172" s="34" t="n"/>
      <c r="C172" s="34" t="n"/>
      <c r="K172" s="37" t="n"/>
      <c r="L172" s="37" t="n"/>
    </row>
    <row r="173">
      <c r="A173" s="34" t="n"/>
      <c r="B173" s="34" t="n"/>
      <c r="C173" s="34" t="n"/>
      <c r="K173" s="37" t="n"/>
      <c r="L173" s="37" t="n"/>
    </row>
    <row r="174">
      <c r="A174" s="34" t="n"/>
      <c r="B174" s="34" t="n"/>
      <c r="C174" s="34" t="n"/>
      <c r="K174" s="37" t="n"/>
      <c r="L174" s="37" t="n"/>
    </row>
    <row r="175">
      <c r="A175" s="34" t="n"/>
      <c r="B175" s="34" t="n"/>
      <c r="C175" s="34" t="n"/>
      <c r="K175" s="37" t="n"/>
      <c r="L175" s="37" t="n"/>
    </row>
    <row r="176">
      <c r="A176" s="34" t="n"/>
      <c r="B176" s="34" t="n"/>
      <c r="C176" s="34" t="n"/>
      <c r="K176" s="37" t="n"/>
      <c r="L176" s="37" t="n"/>
    </row>
    <row r="177">
      <c r="A177" s="34" t="n"/>
      <c r="B177" s="34" t="n"/>
      <c r="C177" s="34" t="n"/>
      <c r="K177" s="37" t="n"/>
      <c r="L177" s="37" t="n"/>
    </row>
    <row r="178">
      <c r="A178" s="34" t="n"/>
      <c r="B178" s="34" t="n"/>
      <c r="C178" s="34" t="n"/>
      <c r="K178" s="37" t="n"/>
      <c r="L178" s="37" t="n"/>
    </row>
    <row r="179">
      <c r="A179" s="34" t="n"/>
      <c r="B179" s="34" t="n"/>
      <c r="C179" s="34" t="n"/>
      <c r="K179" s="37" t="n"/>
      <c r="L179" s="37" t="n"/>
    </row>
    <row r="180">
      <c r="A180" s="34" t="n"/>
      <c r="B180" s="34" t="n"/>
      <c r="C180" s="34" t="n"/>
      <c r="K180" s="37" t="n"/>
      <c r="L180" s="37" t="n"/>
    </row>
    <row r="181">
      <c r="A181" s="34" t="n"/>
      <c r="B181" s="34" t="n"/>
      <c r="C181" s="34" t="n"/>
      <c r="K181" s="37" t="n"/>
      <c r="L181" s="37" t="n"/>
    </row>
    <row r="182">
      <c r="A182" s="34" t="n"/>
      <c r="B182" s="34" t="n"/>
      <c r="C182" s="34" t="n"/>
      <c r="K182" s="37" t="n"/>
      <c r="L182" s="37" t="n"/>
    </row>
    <row r="183">
      <c r="A183" s="34" t="n"/>
      <c r="B183" s="34" t="n"/>
      <c r="C183" s="34" t="n"/>
      <c r="K183" s="37" t="n"/>
      <c r="L183" s="37" t="n"/>
    </row>
    <row r="184">
      <c r="A184" s="34" t="n"/>
      <c r="B184" s="34" t="n"/>
      <c r="C184" s="34" t="n"/>
      <c r="K184" s="37" t="n"/>
      <c r="L184" s="37" t="n"/>
    </row>
    <row r="185">
      <c r="A185" s="34" t="n"/>
      <c r="B185" s="34" t="n"/>
      <c r="C185" s="34" t="n"/>
      <c r="K185" s="37" t="n"/>
      <c r="L185" s="37" t="n"/>
    </row>
    <row r="186">
      <c r="A186" s="34" t="n"/>
      <c r="B186" s="34" t="n"/>
      <c r="C186" s="34" t="n"/>
      <c r="K186" s="37" t="n"/>
      <c r="L186" s="37" t="n"/>
    </row>
    <row r="187">
      <c r="A187" s="34" t="n"/>
      <c r="B187" s="34" t="n"/>
      <c r="C187" s="34" t="n"/>
      <c r="K187" s="37" t="n"/>
      <c r="L187" s="37" t="n"/>
    </row>
    <row r="188">
      <c r="A188" s="34" t="n"/>
      <c r="B188" s="34" t="n"/>
      <c r="C188" s="34" t="n"/>
      <c r="K188" s="37" t="n"/>
      <c r="L188" s="37" t="n"/>
    </row>
    <row r="189">
      <c r="A189" s="34" t="n"/>
      <c r="B189" s="34" t="n"/>
      <c r="C189" s="34" t="n"/>
      <c r="K189" s="37" t="n"/>
      <c r="L189" s="37" t="n"/>
    </row>
    <row r="190">
      <c r="A190" s="34" t="n"/>
      <c r="B190" s="34" t="n"/>
      <c r="C190" s="34" t="n"/>
      <c r="K190" s="37" t="n"/>
      <c r="L190" s="37" t="n"/>
    </row>
    <row r="191">
      <c r="A191" s="34" t="n"/>
      <c r="B191" s="34" t="n"/>
      <c r="C191" s="34" t="n"/>
      <c r="K191" s="37" t="n"/>
      <c r="L191" s="37" t="n"/>
    </row>
    <row r="192">
      <c r="A192" s="34" t="n"/>
      <c r="B192" s="34" t="n"/>
      <c r="C192" s="34" t="n"/>
      <c r="K192" s="37" t="n"/>
      <c r="L192" s="37" t="n"/>
    </row>
    <row r="193">
      <c r="A193" s="34" t="n"/>
      <c r="B193" s="34" t="n"/>
      <c r="C193" s="34" t="n"/>
      <c r="K193" s="37" t="n"/>
      <c r="L193" s="37" t="n"/>
    </row>
    <row r="194">
      <c r="A194" s="34" t="n"/>
      <c r="B194" s="34" t="n"/>
      <c r="C194" s="34" t="n"/>
      <c r="K194" s="37" t="n"/>
      <c r="L194" s="37" t="n"/>
    </row>
    <row r="195">
      <c r="A195" s="34" t="n"/>
      <c r="B195" s="34" t="n"/>
      <c r="C195" s="34" t="n"/>
      <c r="K195" s="37" t="n"/>
      <c r="L195" s="37" t="n"/>
    </row>
    <row r="196">
      <c r="A196" s="34" t="n"/>
      <c r="B196" s="34" t="n"/>
      <c r="C196" s="34" t="n"/>
      <c r="K196" s="37" t="n"/>
      <c r="L196" s="37" t="n"/>
    </row>
    <row r="197">
      <c r="A197" s="34" t="n"/>
      <c r="B197" s="34" t="n"/>
      <c r="C197" s="34" t="n"/>
      <c r="K197" s="37" t="n"/>
      <c r="L197" s="37" t="n"/>
    </row>
    <row r="198">
      <c r="A198" s="34" t="n"/>
      <c r="B198" s="34" t="n"/>
      <c r="C198" s="34" t="n"/>
      <c r="K198" s="37" t="n"/>
      <c r="L198" s="37" t="n"/>
    </row>
    <row r="199">
      <c r="A199" s="34" t="n"/>
      <c r="B199" s="34" t="n"/>
      <c r="C199" s="34" t="n"/>
      <c r="K199" s="37" t="n"/>
      <c r="L199" s="37" t="n"/>
    </row>
    <row r="200">
      <c r="A200" s="34" t="n"/>
      <c r="B200" s="34" t="n"/>
      <c r="C200" s="34" t="n"/>
      <c r="K200" s="37" t="n"/>
      <c r="L200" s="37" t="n"/>
    </row>
    <row r="201">
      <c r="A201" s="34" t="n"/>
      <c r="B201" s="34" t="n"/>
      <c r="C201" s="34" t="n"/>
      <c r="K201" s="37" t="n"/>
      <c r="L201" s="37" t="n"/>
    </row>
    <row r="202">
      <c r="A202" s="34" t="n"/>
      <c r="B202" s="34" t="n"/>
      <c r="C202" s="34" t="n"/>
      <c r="K202" s="37" t="n"/>
      <c r="L202" s="37" t="n"/>
    </row>
    <row r="203">
      <c r="A203" s="34" t="n"/>
      <c r="B203" s="34" t="n"/>
      <c r="C203" s="34" t="n"/>
      <c r="K203" s="37" t="n"/>
      <c r="L203" s="37" t="n"/>
    </row>
    <row r="204">
      <c r="A204" s="34" t="n"/>
      <c r="B204" s="34" t="n"/>
      <c r="C204" s="34" t="n"/>
      <c r="K204" s="37" t="n"/>
      <c r="L204" s="37" t="n"/>
    </row>
    <row r="205">
      <c r="A205" s="34" t="n"/>
      <c r="B205" s="34" t="n"/>
      <c r="C205" s="34" t="n"/>
      <c r="K205" s="37" t="n"/>
      <c r="L205" s="37" t="n"/>
    </row>
    <row r="206">
      <c r="A206" s="34" t="n"/>
      <c r="B206" s="34" t="n"/>
      <c r="C206" s="34" t="n"/>
      <c r="K206" s="37" t="n"/>
      <c r="L206" s="37" t="n"/>
    </row>
    <row r="207">
      <c r="A207" s="34" t="n"/>
      <c r="B207" s="34" t="n"/>
      <c r="C207" s="34" t="n"/>
      <c r="K207" s="37" t="n"/>
      <c r="L207" s="37" t="n"/>
    </row>
    <row r="208">
      <c r="A208" s="34" t="n"/>
      <c r="B208" s="34" t="n"/>
      <c r="C208" s="34" t="n"/>
      <c r="K208" s="37" t="n"/>
      <c r="L208" s="37" t="n"/>
    </row>
    <row r="209">
      <c r="A209" s="34" t="n"/>
      <c r="B209" s="34" t="n"/>
      <c r="C209" s="34" t="n"/>
      <c r="K209" s="37" t="n"/>
      <c r="L209" s="37" t="n"/>
    </row>
    <row r="210">
      <c r="A210" s="34" t="n"/>
      <c r="B210" s="34" t="n"/>
      <c r="C210" s="34" t="n"/>
      <c r="K210" s="37" t="n"/>
      <c r="L210" s="37" t="n"/>
    </row>
    <row r="211">
      <c r="A211" s="34" t="n"/>
      <c r="B211" s="34" t="n"/>
      <c r="C211" s="34" t="n"/>
      <c r="K211" s="37" t="n"/>
      <c r="L211" s="37" t="n"/>
    </row>
    <row r="212">
      <c r="A212" s="34" t="n"/>
      <c r="B212" s="34" t="n"/>
      <c r="C212" s="34" t="n"/>
      <c r="K212" s="37" t="n"/>
      <c r="L212" s="37" t="n"/>
    </row>
    <row r="213">
      <c r="A213" s="34" t="n"/>
      <c r="B213" s="34" t="n"/>
      <c r="C213" s="34" t="n"/>
      <c r="K213" s="37" t="n"/>
      <c r="L213" s="37" t="n"/>
    </row>
    <row r="214">
      <c r="A214" s="34" t="n"/>
      <c r="B214" s="34" t="n"/>
      <c r="C214" s="34" t="n"/>
      <c r="K214" s="37" t="n"/>
      <c r="L214" s="37" t="n"/>
    </row>
    <row r="215">
      <c r="A215" s="34" t="n"/>
      <c r="B215" s="34" t="n"/>
      <c r="C215" s="34" t="n"/>
      <c r="K215" s="37" t="n"/>
      <c r="L215" s="37" t="n"/>
    </row>
    <row r="216">
      <c r="A216" s="34" t="n"/>
      <c r="B216" s="34" t="n"/>
      <c r="C216" s="34" t="n"/>
      <c r="K216" s="37" t="n"/>
      <c r="L216" s="37" t="n"/>
    </row>
    <row r="217">
      <c r="A217" s="34" t="n"/>
      <c r="B217" s="34" t="n"/>
      <c r="C217" s="34" t="n"/>
      <c r="K217" s="37" t="n"/>
      <c r="L217" s="37" t="n"/>
    </row>
    <row r="218">
      <c r="A218" s="34" t="n"/>
      <c r="B218" s="34" t="n"/>
      <c r="C218" s="34" t="n"/>
      <c r="K218" s="37" t="n"/>
      <c r="L218" s="37" t="n"/>
    </row>
    <row r="219">
      <c r="A219" s="34" t="n"/>
      <c r="B219" s="34" t="n"/>
      <c r="C219" s="34" t="n"/>
      <c r="K219" s="37" t="n"/>
      <c r="L219" s="37" t="n"/>
    </row>
    <row r="220">
      <c r="A220" s="34" t="n"/>
      <c r="B220" s="34" t="n"/>
      <c r="C220" s="34" t="n"/>
      <c r="K220" s="37" t="n"/>
      <c r="L220" s="37" t="n"/>
    </row>
    <row r="221">
      <c r="A221" s="34" t="n"/>
      <c r="B221" s="34" t="n"/>
      <c r="C221" s="34" t="n"/>
      <c r="K221" s="37" t="n"/>
      <c r="L221" s="37" t="n"/>
    </row>
    <row r="222">
      <c r="A222" s="34" t="n"/>
      <c r="B222" s="34" t="n"/>
      <c r="C222" s="34" t="n"/>
      <c r="K222" s="37" t="n"/>
      <c r="L222" s="37" t="n"/>
    </row>
    <row r="223">
      <c r="A223" s="34" t="n"/>
      <c r="B223" s="34" t="n"/>
      <c r="C223" s="34" t="n"/>
      <c r="K223" s="37" t="n"/>
      <c r="L223" s="37" t="n"/>
    </row>
    <row r="224">
      <c r="A224" s="34" t="n"/>
      <c r="B224" s="34" t="n"/>
      <c r="C224" s="34" t="n"/>
      <c r="K224" s="37" t="n"/>
      <c r="L224" s="37" t="n"/>
    </row>
    <row r="225">
      <c r="A225" s="34" t="n"/>
      <c r="B225" s="34" t="n"/>
      <c r="C225" s="34" t="n"/>
      <c r="K225" s="37" t="n"/>
      <c r="L225" s="37" t="n"/>
    </row>
    <row r="226">
      <c r="A226" s="34" t="n"/>
      <c r="B226" s="34" t="n"/>
      <c r="C226" s="34" t="n"/>
      <c r="K226" s="37" t="n"/>
      <c r="L226" s="37" t="n"/>
    </row>
    <row r="227">
      <c r="A227" s="34" t="n"/>
      <c r="B227" s="34" t="n"/>
      <c r="C227" s="34" t="n"/>
      <c r="K227" s="37" t="n"/>
      <c r="L227" s="37" t="n"/>
    </row>
    <row r="228">
      <c r="A228" s="34" t="n"/>
      <c r="B228" s="34" t="n"/>
      <c r="C228" s="34" t="n"/>
      <c r="K228" s="37" t="n"/>
      <c r="L228" s="37" t="n"/>
    </row>
    <row r="229">
      <c r="A229" s="34" t="n"/>
      <c r="B229" s="34" t="n"/>
      <c r="C229" s="34" t="n"/>
      <c r="K229" s="37" t="n"/>
      <c r="L229" s="37" t="n"/>
    </row>
    <row r="230">
      <c r="A230" s="34" t="n"/>
      <c r="B230" s="34" t="n"/>
      <c r="C230" s="34" t="n"/>
      <c r="K230" s="37" t="n"/>
      <c r="L230" s="37" t="n"/>
    </row>
    <row r="231">
      <c r="A231" s="34" t="n"/>
      <c r="B231" s="34" t="n"/>
      <c r="C231" s="34" t="n"/>
      <c r="K231" s="37" t="n"/>
      <c r="L231" s="37" t="n"/>
    </row>
    <row r="232">
      <c r="A232" s="34" t="n"/>
      <c r="B232" s="34" t="n"/>
      <c r="C232" s="34" t="n"/>
      <c r="K232" s="37" t="n"/>
      <c r="L232" s="37" t="n"/>
    </row>
    <row r="233">
      <c r="A233" s="34" t="n"/>
      <c r="B233" s="34" t="n"/>
      <c r="C233" s="34" t="n"/>
      <c r="K233" s="37" t="n"/>
      <c r="L233" s="37" t="n"/>
    </row>
    <row r="234">
      <c r="A234" s="34" t="n"/>
      <c r="B234" s="34" t="n"/>
      <c r="C234" s="34" t="n"/>
      <c r="K234" s="37" t="n"/>
      <c r="L234" s="37" t="n"/>
    </row>
    <row r="235">
      <c r="A235" s="34" t="n"/>
      <c r="B235" s="34" t="n"/>
      <c r="C235" s="34" t="n"/>
      <c r="K235" s="37" t="n"/>
      <c r="L235" s="37" t="n"/>
    </row>
    <row r="236">
      <c r="A236" s="34" t="n"/>
      <c r="B236" s="34" t="n"/>
      <c r="C236" s="34" t="n"/>
      <c r="K236" s="37" t="n"/>
      <c r="L236" s="37" t="n"/>
    </row>
    <row r="237">
      <c r="A237" s="34" t="n"/>
      <c r="B237" s="34" t="n"/>
      <c r="C237" s="34" t="n"/>
      <c r="K237" s="37" t="n"/>
      <c r="L237" s="37" t="n"/>
    </row>
    <row r="238">
      <c r="A238" s="34" t="n"/>
      <c r="B238" s="34" t="n"/>
      <c r="C238" s="34" t="n"/>
      <c r="K238" s="37" t="n"/>
      <c r="L238" s="37" t="n"/>
    </row>
    <row r="239">
      <c r="A239" s="34" t="n"/>
      <c r="B239" s="34" t="n"/>
      <c r="C239" s="34" t="n"/>
      <c r="K239" s="37" t="n"/>
      <c r="L239" s="37" t="n"/>
    </row>
    <row r="240">
      <c r="A240" s="34" t="n"/>
      <c r="B240" s="34" t="n"/>
      <c r="C240" s="34" t="n"/>
      <c r="K240" s="37" t="n"/>
      <c r="L240" s="37" t="n"/>
    </row>
    <row r="241">
      <c r="A241" s="34" t="n"/>
      <c r="B241" s="34" t="n"/>
      <c r="C241" s="34" t="n"/>
      <c r="K241" s="37" t="n"/>
      <c r="L241" s="37" t="n"/>
    </row>
    <row r="242">
      <c r="A242" s="34" t="n"/>
      <c r="B242" s="34" t="n"/>
      <c r="C242" s="34" t="n"/>
      <c r="K242" s="37" t="n"/>
      <c r="L242" s="37" t="n"/>
    </row>
    <row r="243">
      <c r="A243" s="34" t="n"/>
      <c r="B243" s="34" t="n"/>
      <c r="C243" s="34" t="n"/>
      <c r="K243" s="37" t="n"/>
      <c r="L243" s="37" t="n"/>
    </row>
    <row r="244">
      <c r="A244" s="34" t="n"/>
      <c r="B244" s="34" t="n"/>
      <c r="C244" s="34" t="n"/>
      <c r="K244" s="37" t="n"/>
      <c r="L244" s="37" t="n"/>
    </row>
    <row r="245">
      <c r="A245" s="34" t="n"/>
      <c r="B245" s="34" t="n"/>
      <c r="C245" s="34" t="n"/>
      <c r="K245" s="37" t="n"/>
      <c r="L245" s="37" t="n"/>
    </row>
    <row r="246">
      <c r="A246" s="34" t="n"/>
      <c r="B246" s="34" t="n"/>
      <c r="C246" s="34" t="n"/>
      <c r="K246" s="37" t="n"/>
      <c r="L246" s="37" t="n"/>
    </row>
    <row r="247">
      <c r="A247" s="34" t="n"/>
      <c r="B247" s="34" t="n"/>
      <c r="C247" s="34" t="n"/>
      <c r="K247" s="37" t="n"/>
      <c r="L247" s="37" t="n"/>
    </row>
    <row r="248">
      <c r="A248" s="34" t="n"/>
      <c r="B248" s="34" t="n"/>
      <c r="C248" s="34" t="n"/>
      <c r="K248" s="37" t="n"/>
      <c r="L248" s="37" t="n"/>
    </row>
    <row r="249">
      <c r="A249" s="34" t="n"/>
      <c r="B249" s="34" t="n"/>
      <c r="C249" s="34" t="n"/>
      <c r="K249" s="37" t="n"/>
      <c r="L249" s="37" t="n"/>
    </row>
    <row r="250">
      <c r="A250" s="34" t="n"/>
      <c r="B250" s="34" t="n"/>
      <c r="C250" s="34" t="n"/>
      <c r="K250" s="37" t="n"/>
      <c r="L250" s="37" t="n"/>
    </row>
    <row r="251">
      <c r="A251" s="34" t="n"/>
      <c r="B251" s="34" t="n"/>
      <c r="C251" s="34" t="n"/>
      <c r="K251" s="37" t="n"/>
      <c r="L251" s="37" t="n"/>
    </row>
    <row r="252">
      <c r="A252" s="34" t="n"/>
      <c r="B252" s="34" t="n"/>
      <c r="C252" s="34" t="n"/>
      <c r="K252" s="37" t="n"/>
      <c r="L252" s="37" t="n"/>
    </row>
    <row r="253">
      <c r="A253" s="34" t="n"/>
      <c r="B253" s="34" t="n"/>
      <c r="C253" s="34" t="n"/>
      <c r="K253" s="37" t="n"/>
      <c r="L253" s="37" t="n"/>
    </row>
    <row r="254">
      <c r="A254" s="34" t="n"/>
      <c r="B254" s="34" t="n"/>
      <c r="C254" s="34" t="n"/>
      <c r="K254" s="37" t="n"/>
      <c r="L254" s="37" t="n"/>
    </row>
    <row r="255">
      <c r="A255" s="34" t="n"/>
      <c r="B255" s="34" t="n"/>
      <c r="C255" s="34" t="n"/>
      <c r="K255" s="37" t="n"/>
      <c r="L255" s="37" t="n"/>
    </row>
    <row r="256">
      <c r="A256" s="34" t="n"/>
      <c r="B256" s="34" t="n"/>
      <c r="C256" s="34" t="n"/>
      <c r="K256" s="37" t="n"/>
      <c r="L256" s="37" t="n"/>
    </row>
    <row r="257">
      <c r="A257" s="34" t="n"/>
      <c r="B257" s="34" t="n"/>
      <c r="C257" s="34" t="n"/>
      <c r="K257" s="37" t="n"/>
      <c r="L257" s="37" t="n"/>
    </row>
    <row r="258">
      <c r="A258" s="34" t="n"/>
      <c r="B258" s="34" t="n"/>
      <c r="C258" s="34" t="n"/>
      <c r="K258" s="37" t="n"/>
      <c r="L258" s="37" t="n"/>
    </row>
    <row r="259">
      <c r="A259" s="34" t="n"/>
      <c r="B259" s="34" t="n"/>
      <c r="C259" s="34" t="n"/>
      <c r="K259" s="37" t="n"/>
      <c r="L259" s="37" t="n"/>
    </row>
    <row r="260">
      <c r="A260" s="34" t="n"/>
      <c r="B260" s="34" t="n"/>
      <c r="C260" s="34" t="n"/>
      <c r="K260" s="37" t="n"/>
      <c r="L260" s="37" t="n"/>
    </row>
    <row r="261">
      <c r="A261" s="34" t="n"/>
      <c r="B261" s="34" t="n"/>
      <c r="C261" s="34" t="n"/>
      <c r="K261" s="37" t="n"/>
      <c r="L261" s="37" t="n"/>
    </row>
    <row r="262">
      <c r="A262" s="34" t="n"/>
      <c r="B262" s="34" t="n"/>
      <c r="C262" s="34" t="n"/>
      <c r="K262" s="37" t="n"/>
      <c r="L262" s="37" t="n"/>
    </row>
    <row r="263">
      <c r="A263" s="34" t="n"/>
      <c r="B263" s="34" t="n"/>
      <c r="C263" s="34" t="n"/>
      <c r="K263" s="37" t="n"/>
      <c r="L263" s="37" t="n"/>
    </row>
    <row r="264">
      <c r="A264" s="34" t="n"/>
      <c r="B264" s="34" t="n"/>
      <c r="C264" s="34" t="n"/>
      <c r="K264" s="37" t="n"/>
      <c r="L264" s="37" t="n"/>
    </row>
    <row r="265">
      <c r="A265" s="34" t="n"/>
      <c r="B265" s="34" t="n"/>
      <c r="C265" s="34" t="n"/>
      <c r="K265" s="37" t="n"/>
      <c r="L265" s="37" t="n"/>
    </row>
    <row r="266">
      <c r="A266" s="34" t="n"/>
      <c r="B266" s="34" t="n"/>
      <c r="C266" s="34" t="n"/>
      <c r="K266" s="37" t="n"/>
      <c r="L266" s="37" t="n"/>
    </row>
    <row r="267">
      <c r="A267" s="34" t="n"/>
      <c r="B267" s="34" t="n"/>
      <c r="C267" s="34" t="n"/>
      <c r="K267" s="37" t="n"/>
      <c r="L267" s="37" t="n"/>
    </row>
    <row r="268">
      <c r="A268" s="34" t="n"/>
      <c r="B268" s="34" t="n"/>
      <c r="C268" s="34" t="n"/>
      <c r="K268" s="37" t="n"/>
      <c r="L268" s="37" t="n"/>
    </row>
    <row r="269">
      <c r="A269" s="34" t="n"/>
      <c r="B269" s="34" t="n"/>
      <c r="C269" s="34" t="n"/>
      <c r="K269" s="37" t="n"/>
      <c r="L269" s="37" t="n"/>
    </row>
    <row r="270">
      <c r="A270" s="34" t="n"/>
      <c r="B270" s="34" t="n"/>
      <c r="C270" s="34" t="n"/>
      <c r="K270" s="37" t="n"/>
      <c r="L270" s="37" t="n"/>
    </row>
    <row r="271">
      <c r="A271" s="34" t="n"/>
      <c r="B271" s="34" t="n"/>
      <c r="C271" s="34" t="n"/>
      <c r="K271" s="37" t="n"/>
      <c r="L271" s="37" t="n"/>
    </row>
    <row r="272">
      <c r="A272" s="34" t="n"/>
      <c r="B272" s="34" t="n"/>
      <c r="C272" s="34" t="n"/>
      <c r="K272" s="37" t="n"/>
      <c r="L272" s="37" t="n"/>
    </row>
    <row r="273">
      <c r="A273" s="34" t="n"/>
      <c r="B273" s="34" t="n"/>
      <c r="C273" s="34" t="n"/>
      <c r="K273" s="37" t="n"/>
      <c r="L273" s="37" t="n"/>
    </row>
    <row r="274">
      <c r="A274" s="34" t="n"/>
      <c r="B274" s="34" t="n"/>
      <c r="C274" s="34" t="n"/>
      <c r="K274" s="37" t="n"/>
      <c r="L274" s="37" t="n"/>
    </row>
    <row r="275">
      <c r="A275" s="34" t="n"/>
      <c r="B275" s="34" t="n"/>
      <c r="C275" s="34" t="n"/>
      <c r="K275" s="37" t="n"/>
      <c r="L275" s="37" t="n"/>
    </row>
    <row r="276">
      <c r="A276" s="34" t="n"/>
      <c r="B276" s="34" t="n"/>
      <c r="C276" s="34" t="n"/>
      <c r="K276" s="37" t="n"/>
      <c r="L276" s="37" t="n"/>
    </row>
    <row r="277">
      <c r="A277" s="34" t="n"/>
      <c r="B277" s="34" t="n"/>
      <c r="C277" s="34" t="n"/>
      <c r="K277" s="37" t="n"/>
      <c r="L277" s="37" t="n"/>
    </row>
    <row r="278">
      <c r="A278" s="34" t="n"/>
      <c r="B278" s="34" t="n"/>
      <c r="C278" s="34" t="n"/>
      <c r="K278" s="37" t="n"/>
      <c r="L278" s="37" t="n"/>
    </row>
    <row r="279">
      <c r="A279" s="34" t="n"/>
      <c r="B279" s="34" t="n"/>
      <c r="C279" s="34" t="n"/>
      <c r="K279" s="37" t="n"/>
      <c r="L279" s="37" t="n"/>
    </row>
    <row r="280">
      <c r="A280" s="34" t="n"/>
      <c r="B280" s="34" t="n"/>
      <c r="C280" s="34" t="n"/>
      <c r="K280" s="37" t="n"/>
      <c r="L280" s="37" t="n"/>
    </row>
    <row r="281">
      <c r="A281" s="34" t="n"/>
      <c r="B281" s="34" t="n"/>
      <c r="C281" s="34" t="n"/>
      <c r="K281" s="37" t="n"/>
      <c r="L281" s="37" t="n"/>
    </row>
    <row r="282">
      <c r="A282" s="34" t="n"/>
      <c r="B282" s="34" t="n"/>
      <c r="C282" s="34" t="n"/>
      <c r="K282" s="37" t="n"/>
      <c r="L282" s="37" t="n"/>
    </row>
    <row r="283">
      <c r="A283" s="34" t="n"/>
      <c r="B283" s="34" t="n"/>
      <c r="C283" s="34" t="n"/>
      <c r="K283" s="37" t="n"/>
      <c r="L283" s="37" t="n"/>
    </row>
    <row r="284">
      <c r="A284" s="34" t="n"/>
      <c r="B284" s="34" t="n"/>
      <c r="C284" s="34" t="n"/>
      <c r="K284" s="37" t="n"/>
      <c r="L284" s="37" t="n"/>
    </row>
    <row r="285">
      <c r="A285" s="34" t="n"/>
      <c r="B285" s="34" t="n"/>
      <c r="C285" s="34" t="n"/>
      <c r="K285" s="37" t="n"/>
      <c r="L285" s="37" t="n"/>
    </row>
    <row r="286">
      <c r="A286" s="34" t="n"/>
      <c r="B286" s="34" t="n"/>
      <c r="C286" s="34" t="n"/>
      <c r="K286" s="37" t="n"/>
      <c r="L286" s="37" t="n"/>
    </row>
    <row r="287">
      <c r="A287" s="34" t="n"/>
      <c r="B287" s="34" t="n"/>
      <c r="C287" s="34" t="n"/>
      <c r="K287" s="37" t="n"/>
      <c r="L287" s="37" t="n"/>
    </row>
    <row r="288">
      <c r="A288" s="34" t="n"/>
      <c r="B288" s="34" t="n"/>
      <c r="C288" s="34" t="n"/>
      <c r="K288" s="37" t="n"/>
      <c r="L288" s="37" t="n"/>
    </row>
    <row r="289">
      <c r="A289" s="34" t="n"/>
      <c r="B289" s="34" t="n"/>
      <c r="C289" s="34" t="n"/>
      <c r="K289" s="37" t="n"/>
      <c r="L289" s="37" t="n"/>
    </row>
    <row r="290">
      <c r="A290" s="34" t="n"/>
      <c r="B290" s="34" t="n"/>
      <c r="C290" s="34" t="n"/>
      <c r="K290" s="37" t="n"/>
      <c r="L290" s="37" t="n"/>
    </row>
    <row r="291">
      <c r="A291" s="34" t="n"/>
      <c r="B291" s="34" t="n"/>
      <c r="C291" s="34" t="n"/>
      <c r="K291" s="37" t="n"/>
      <c r="L291" s="37" t="n"/>
    </row>
    <row r="292">
      <c r="A292" s="34" t="n"/>
      <c r="B292" s="34" t="n"/>
      <c r="C292" s="34" t="n"/>
      <c r="K292" s="37" t="n"/>
      <c r="L292" s="37" t="n"/>
    </row>
    <row r="293">
      <c r="A293" s="34" t="n"/>
      <c r="B293" s="34" t="n"/>
      <c r="C293" s="34" t="n"/>
      <c r="K293" s="37" t="n"/>
      <c r="L293" s="37" t="n"/>
    </row>
    <row r="294">
      <c r="A294" s="34" t="n"/>
      <c r="B294" s="34" t="n"/>
      <c r="C294" s="34" t="n"/>
      <c r="K294" s="37" t="n"/>
      <c r="L294" s="37" t="n"/>
    </row>
    <row r="295">
      <c r="A295" s="34" t="n"/>
      <c r="B295" s="34" t="n"/>
      <c r="C295" s="34" t="n"/>
      <c r="K295" s="37" t="n"/>
      <c r="L295" s="37" t="n"/>
    </row>
    <row r="296">
      <c r="A296" s="34" t="n"/>
      <c r="B296" s="34" t="n"/>
      <c r="C296" s="34" t="n"/>
      <c r="K296" s="37" t="n"/>
      <c r="L296" s="37" t="n"/>
    </row>
    <row r="297">
      <c r="A297" s="34" t="n"/>
      <c r="B297" s="34" t="n"/>
      <c r="C297" s="34" t="n"/>
      <c r="K297" s="37" t="n"/>
      <c r="L297" s="37" t="n"/>
    </row>
    <row r="298">
      <c r="A298" s="34" t="n"/>
      <c r="B298" s="34" t="n"/>
      <c r="C298" s="34" t="n"/>
      <c r="K298" s="37" t="n"/>
      <c r="L298" s="37" t="n"/>
    </row>
    <row r="299">
      <c r="A299" s="34" t="n"/>
      <c r="B299" s="34" t="n"/>
      <c r="C299" s="34" t="n"/>
      <c r="K299" s="37" t="n"/>
      <c r="L299" s="37" t="n"/>
    </row>
    <row r="300">
      <c r="A300" s="34" t="n"/>
      <c r="B300" s="34" t="n"/>
      <c r="C300" s="34" t="n"/>
      <c r="K300" s="37" t="n"/>
      <c r="L300" s="37" t="n"/>
    </row>
    <row r="301">
      <c r="A301" s="34" t="n"/>
      <c r="B301" s="34" t="n"/>
      <c r="C301" s="34" t="n"/>
      <c r="K301" s="37" t="n"/>
      <c r="L301" s="37" t="n"/>
    </row>
    <row r="302">
      <c r="A302" s="34" t="n"/>
      <c r="B302" s="34" t="n"/>
      <c r="C302" s="34" t="n"/>
      <c r="K302" s="37" t="n"/>
      <c r="L302" s="37" t="n"/>
    </row>
    <row r="303">
      <c r="A303" s="34" t="n"/>
      <c r="B303" s="34" t="n"/>
      <c r="C303" s="34" t="n"/>
      <c r="K303" s="37" t="n"/>
      <c r="L303" s="37" t="n"/>
    </row>
    <row r="304">
      <c r="A304" s="34" t="n"/>
      <c r="B304" s="34" t="n"/>
      <c r="C304" s="34" t="n"/>
      <c r="K304" s="37" t="n"/>
      <c r="L304" s="37" t="n"/>
    </row>
    <row r="305">
      <c r="A305" s="34" t="n"/>
      <c r="B305" s="34" t="n"/>
      <c r="C305" s="34" t="n"/>
      <c r="K305" s="37" t="n"/>
      <c r="L305" s="37" t="n"/>
    </row>
    <row r="306">
      <c r="A306" s="34" t="n"/>
      <c r="B306" s="34" t="n"/>
      <c r="C306" s="34" t="n"/>
      <c r="K306" s="37" t="n"/>
      <c r="L306" s="37" t="n"/>
    </row>
    <row r="307">
      <c r="A307" s="34" t="n"/>
      <c r="B307" s="34" t="n"/>
      <c r="C307" s="34" t="n"/>
      <c r="K307" s="37" t="n"/>
      <c r="L307" s="37" t="n"/>
    </row>
    <row r="308">
      <c r="A308" s="34" t="n"/>
      <c r="B308" s="34" t="n"/>
      <c r="C308" s="34" t="n"/>
      <c r="K308" s="37" t="n"/>
      <c r="L308" s="37" t="n"/>
    </row>
    <row r="309">
      <c r="A309" s="34" t="n"/>
      <c r="B309" s="34" t="n"/>
      <c r="C309" s="34" t="n"/>
      <c r="K309" s="37" t="n"/>
      <c r="L309" s="37" t="n"/>
    </row>
    <row r="310">
      <c r="A310" s="34" t="n"/>
      <c r="B310" s="34" t="n"/>
      <c r="C310" s="34" t="n"/>
      <c r="K310" s="37" t="n"/>
      <c r="L310" s="37" t="n"/>
    </row>
    <row r="311">
      <c r="A311" s="34" t="n"/>
      <c r="B311" s="34" t="n"/>
      <c r="C311" s="34" t="n"/>
      <c r="K311" s="37" t="n"/>
      <c r="L311" s="37" t="n"/>
    </row>
    <row r="312">
      <c r="A312" s="34" t="n"/>
      <c r="B312" s="34" t="n"/>
      <c r="C312" s="34" t="n"/>
      <c r="K312" s="37" t="n"/>
      <c r="L312" s="37" t="n"/>
    </row>
    <row r="313">
      <c r="A313" s="34" t="n"/>
      <c r="B313" s="34" t="n"/>
      <c r="C313" s="34" t="n"/>
      <c r="K313" s="37" t="n"/>
      <c r="L313" s="37" t="n"/>
    </row>
    <row r="314">
      <c r="A314" s="34" t="n"/>
      <c r="B314" s="34" t="n"/>
      <c r="C314" s="34" t="n"/>
      <c r="K314" s="37" t="n"/>
      <c r="L314" s="37" t="n"/>
    </row>
    <row r="315">
      <c r="A315" s="34" t="n"/>
      <c r="B315" s="34" t="n"/>
      <c r="C315" s="34" t="n"/>
      <c r="K315" s="37" t="n"/>
      <c r="L315" s="37" t="n"/>
    </row>
    <row r="316">
      <c r="A316" s="34" t="n"/>
      <c r="B316" s="34" t="n"/>
      <c r="C316" s="34" t="n"/>
      <c r="K316" s="37" t="n"/>
      <c r="L316" s="37" t="n"/>
    </row>
    <row r="317">
      <c r="A317" s="34" t="n"/>
      <c r="B317" s="34" t="n"/>
      <c r="C317" s="34" t="n"/>
      <c r="K317" s="37" t="n"/>
      <c r="L317" s="37" t="n"/>
    </row>
    <row r="318">
      <c r="A318" s="34" t="n"/>
      <c r="B318" s="34" t="n"/>
      <c r="C318" s="34" t="n"/>
      <c r="K318" s="37" t="n"/>
      <c r="L318" s="37" t="n"/>
    </row>
    <row r="319">
      <c r="A319" s="34" t="n"/>
      <c r="B319" s="34" t="n"/>
      <c r="C319" s="34" t="n"/>
      <c r="K319" s="37" t="n"/>
      <c r="L319" s="37" t="n"/>
    </row>
    <row r="320">
      <c r="A320" s="34" t="n"/>
      <c r="B320" s="34" t="n"/>
      <c r="C320" s="34" t="n"/>
      <c r="K320" s="37" t="n"/>
      <c r="L320" s="37" t="n"/>
    </row>
    <row r="321">
      <c r="A321" s="34" t="n"/>
      <c r="B321" s="34" t="n"/>
      <c r="C321" s="34" t="n"/>
      <c r="K321" s="37" t="n"/>
      <c r="L321" s="37" t="n"/>
    </row>
    <row r="322">
      <c r="A322" s="34" t="n"/>
      <c r="B322" s="34" t="n"/>
      <c r="C322" s="34" t="n"/>
      <c r="K322" s="37" t="n"/>
      <c r="L322" s="37" t="n"/>
    </row>
    <row r="323">
      <c r="A323" s="34" t="n"/>
      <c r="B323" s="34" t="n"/>
      <c r="C323" s="34" t="n"/>
      <c r="K323" s="37" t="n"/>
      <c r="L323" s="37" t="n"/>
    </row>
    <row r="324">
      <c r="A324" s="34" t="n"/>
      <c r="B324" s="34" t="n"/>
      <c r="C324" s="34" t="n"/>
      <c r="K324" s="37" t="n"/>
      <c r="L324" s="37" t="n"/>
    </row>
    <row r="325">
      <c r="A325" s="34" t="n"/>
      <c r="B325" s="34" t="n"/>
      <c r="C325" s="34" t="n"/>
      <c r="K325" s="37" t="n"/>
      <c r="L325" s="37" t="n"/>
    </row>
    <row r="326">
      <c r="A326" s="34" t="n"/>
      <c r="B326" s="34" t="n"/>
      <c r="C326" s="34" t="n"/>
      <c r="K326" s="37" t="n"/>
      <c r="L326" s="37" t="n"/>
    </row>
    <row r="327">
      <c r="A327" s="34" t="n"/>
      <c r="B327" s="34" t="n"/>
      <c r="C327" s="34" t="n"/>
      <c r="K327" s="37" t="n"/>
      <c r="L327" s="37" t="n"/>
    </row>
    <row r="328">
      <c r="A328" s="34" t="n"/>
      <c r="B328" s="34" t="n"/>
      <c r="C328" s="34" t="n"/>
      <c r="K328" s="37" t="n"/>
      <c r="L328" s="37" t="n"/>
    </row>
    <row r="329">
      <c r="A329" s="34" t="n"/>
      <c r="B329" s="34" t="n"/>
      <c r="C329" s="34" t="n"/>
      <c r="K329" s="37" t="n"/>
      <c r="L329" s="37" t="n"/>
    </row>
    <row r="330">
      <c r="A330" s="34" t="n"/>
      <c r="B330" s="34" t="n"/>
      <c r="C330" s="34" t="n"/>
      <c r="K330" s="37" t="n"/>
      <c r="L330" s="37" t="n"/>
    </row>
    <row r="331">
      <c r="A331" s="34" t="n"/>
      <c r="B331" s="34" t="n"/>
      <c r="C331" s="34" t="n"/>
      <c r="K331" s="37" t="n"/>
      <c r="L331" s="37" t="n"/>
    </row>
    <row r="332">
      <c r="A332" s="34" t="n"/>
      <c r="B332" s="34" t="n"/>
      <c r="C332" s="34" t="n"/>
      <c r="K332" s="37" t="n"/>
      <c r="L332" s="37" t="n"/>
    </row>
    <row r="333">
      <c r="A333" s="34" t="n"/>
      <c r="B333" s="34" t="n"/>
      <c r="C333" s="34" t="n"/>
      <c r="K333" s="37" t="n"/>
      <c r="L333" s="37" t="n"/>
    </row>
    <row r="334">
      <c r="A334" s="34" t="n"/>
      <c r="B334" s="34" t="n"/>
      <c r="C334" s="34" t="n"/>
      <c r="K334" s="37" t="n"/>
      <c r="L334" s="37" t="n"/>
    </row>
    <row r="335">
      <c r="A335" s="34" t="n"/>
      <c r="B335" s="34" t="n"/>
      <c r="C335" s="34" t="n"/>
      <c r="K335" s="37" t="n"/>
      <c r="L335" s="37" t="n"/>
    </row>
    <row r="336">
      <c r="A336" s="34" t="n"/>
      <c r="B336" s="34" t="n"/>
      <c r="C336" s="34" t="n"/>
      <c r="K336" s="37" t="n"/>
      <c r="L336" s="37" t="n"/>
    </row>
    <row r="337">
      <c r="A337" s="34" t="n"/>
      <c r="B337" s="34" t="n"/>
      <c r="C337" s="34" t="n"/>
      <c r="K337" s="37" t="n"/>
      <c r="L337" s="37" t="n"/>
    </row>
    <row r="338">
      <c r="A338" s="34" t="n"/>
      <c r="B338" s="34" t="n"/>
      <c r="C338" s="34" t="n"/>
      <c r="K338" s="37" t="n"/>
      <c r="L338" s="37" t="n"/>
    </row>
    <row r="339">
      <c r="A339" s="34" t="n"/>
      <c r="B339" s="34" t="n"/>
      <c r="C339" s="34" t="n"/>
      <c r="K339" s="37" t="n"/>
      <c r="L339" s="37" t="n"/>
    </row>
    <row r="340">
      <c r="A340" s="34" t="n"/>
      <c r="B340" s="34" t="n"/>
      <c r="C340" s="34" t="n"/>
      <c r="K340" s="37" t="n"/>
      <c r="L340" s="37" t="n"/>
    </row>
    <row r="341">
      <c r="A341" s="34" t="n"/>
      <c r="B341" s="34" t="n"/>
      <c r="C341" s="34" t="n"/>
      <c r="K341" s="37" t="n"/>
      <c r="L341" s="37" t="n"/>
    </row>
    <row r="342">
      <c r="A342" s="34" t="n"/>
      <c r="B342" s="34" t="n"/>
      <c r="C342" s="34" t="n"/>
      <c r="K342" s="37" t="n"/>
      <c r="L342" s="37" t="n"/>
    </row>
    <row r="343">
      <c r="A343" s="34" t="n"/>
      <c r="B343" s="34" t="n"/>
      <c r="C343" s="34" t="n"/>
      <c r="K343" s="37" t="n"/>
      <c r="L343" s="37" t="n"/>
    </row>
    <row r="344">
      <c r="A344" s="34" t="n"/>
      <c r="B344" s="34" t="n"/>
      <c r="C344" s="34" t="n"/>
      <c r="K344" s="37" t="n"/>
      <c r="L344" s="37" t="n"/>
    </row>
    <row r="345">
      <c r="A345" s="34" t="n"/>
      <c r="B345" s="34" t="n"/>
      <c r="C345" s="34" t="n"/>
      <c r="K345" s="37" t="n"/>
      <c r="L345" s="37" t="n"/>
    </row>
    <row r="346">
      <c r="A346" s="34" t="n"/>
      <c r="B346" s="34" t="n"/>
      <c r="C346" s="34" t="n"/>
      <c r="K346" s="37" t="n"/>
      <c r="L346" s="37" t="n"/>
    </row>
    <row r="347">
      <c r="A347" s="34" t="n"/>
      <c r="B347" s="34" t="n"/>
      <c r="C347" s="34" t="n"/>
      <c r="K347" s="37" t="n"/>
      <c r="L347" s="37" t="n"/>
    </row>
    <row r="348">
      <c r="A348" s="34" t="n"/>
      <c r="B348" s="34" t="n"/>
      <c r="C348" s="34" t="n"/>
      <c r="K348" s="37" t="n"/>
      <c r="L348" s="37" t="n"/>
    </row>
    <row r="349">
      <c r="A349" s="34" t="n"/>
      <c r="B349" s="34" t="n"/>
      <c r="C349" s="34" t="n"/>
      <c r="K349" s="37" t="n"/>
      <c r="L349" s="37" t="n"/>
    </row>
    <row r="350">
      <c r="A350" s="34" t="n"/>
      <c r="B350" s="34" t="n"/>
      <c r="C350" s="34" t="n"/>
      <c r="K350" s="37" t="n"/>
      <c r="L350" s="37" t="n"/>
    </row>
    <row r="351">
      <c r="A351" s="34" t="n"/>
      <c r="B351" s="34" t="n"/>
      <c r="C351" s="34" t="n"/>
      <c r="K351" s="37" t="n"/>
      <c r="L351" s="37" t="n"/>
    </row>
    <row r="352">
      <c r="A352" s="34" t="n"/>
      <c r="B352" s="34" t="n"/>
      <c r="C352" s="34" t="n"/>
      <c r="K352" s="37" t="n"/>
      <c r="L352" s="37" t="n"/>
    </row>
    <row r="353">
      <c r="A353" s="34" t="n"/>
      <c r="B353" s="34" t="n"/>
      <c r="C353" s="34" t="n"/>
      <c r="K353" s="37" t="n"/>
      <c r="L353" s="37" t="n"/>
    </row>
    <row r="354">
      <c r="A354" s="34" t="n"/>
      <c r="B354" s="34" t="n"/>
      <c r="C354" s="34" t="n"/>
      <c r="K354" s="37" t="n"/>
      <c r="L354" s="37" t="n"/>
    </row>
    <row r="355">
      <c r="A355" s="34" t="n"/>
      <c r="B355" s="34" t="n"/>
      <c r="C355" s="34" t="n"/>
      <c r="K355" s="37" t="n"/>
      <c r="L355" s="37" t="n"/>
    </row>
    <row r="356">
      <c r="A356" s="34" t="n"/>
      <c r="B356" s="34" t="n"/>
      <c r="C356" s="34" t="n"/>
      <c r="K356" s="37" t="n"/>
      <c r="L356" s="37" t="n"/>
    </row>
    <row r="357">
      <c r="A357" s="34" t="n"/>
      <c r="B357" s="34" t="n"/>
      <c r="C357" s="34" t="n"/>
      <c r="K357" s="37" t="n"/>
      <c r="L357" s="37" t="n"/>
    </row>
    <row r="358">
      <c r="A358" s="34" t="n"/>
      <c r="B358" s="34" t="n"/>
      <c r="C358" s="34" t="n"/>
      <c r="K358" s="37" t="n"/>
      <c r="L358" s="37" t="n"/>
    </row>
    <row r="359">
      <c r="A359" s="34" t="n"/>
      <c r="B359" s="34" t="n"/>
      <c r="C359" s="34" t="n"/>
      <c r="K359" s="37" t="n"/>
      <c r="L359" s="37" t="n"/>
    </row>
    <row r="360">
      <c r="A360" s="34" t="n"/>
      <c r="B360" s="34" t="n"/>
      <c r="C360" s="34" t="n"/>
      <c r="K360" s="37" t="n"/>
      <c r="L360" s="37" t="n"/>
    </row>
    <row r="361">
      <c r="A361" s="34" t="n"/>
      <c r="B361" s="34" t="n"/>
      <c r="C361" s="34" t="n"/>
      <c r="K361" s="37" t="n"/>
      <c r="L361" s="37" t="n"/>
    </row>
    <row r="362">
      <c r="A362" s="34" t="n"/>
      <c r="B362" s="34" t="n"/>
      <c r="C362" s="34" t="n"/>
      <c r="K362" s="37" t="n"/>
      <c r="L362" s="37" t="n"/>
    </row>
    <row r="363">
      <c r="A363" s="34" t="n"/>
      <c r="B363" s="34" t="n"/>
      <c r="C363" s="34" t="n"/>
      <c r="K363" s="37" t="n"/>
      <c r="L363" s="37" t="n"/>
    </row>
    <row r="364">
      <c r="A364" s="34" t="n"/>
      <c r="B364" s="34" t="n"/>
      <c r="C364" s="34" t="n"/>
      <c r="K364" s="37" t="n"/>
      <c r="L364" s="37" t="n"/>
    </row>
    <row r="365">
      <c r="A365" s="34" t="n"/>
      <c r="B365" s="34" t="n"/>
      <c r="C365" s="34" t="n"/>
      <c r="K365" s="37" t="n"/>
      <c r="L365" s="37" t="n"/>
    </row>
    <row r="366">
      <c r="A366" s="34" t="n"/>
      <c r="B366" s="34" t="n"/>
      <c r="C366" s="34" t="n"/>
      <c r="K366" s="37" t="n"/>
      <c r="L366" s="37" t="n"/>
    </row>
    <row r="367">
      <c r="A367" s="34" t="n"/>
      <c r="B367" s="34" t="n"/>
      <c r="C367" s="34" t="n"/>
      <c r="K367" s="37" t="n"/>
      <c r="L367" s="37" t="n"/>
    </row>
    <row r="368">
      <c r="A368" s="34" t="n"/>
      <c r="B368" s="34" t="n"/>
      <c r="C368" s="34" t="n"/>
      <c r="K368" s="37" t="n"/>
      <c r="L368" s="37" t="n"/>
    </row>
    <row r="369">
      <c r="A369" s="34" t="n"/>
      <c r="B369" s="34" t="n"/>
      <c r="C369" s="34" t="n"/>
      <c r="K369" s="37" t="n"/>
      <c r="L369" s="37" t="n"/>
    </row>
    <row r="370">
      <c r="A370" s="34" t="n"/>
      <c r="B370" s="34" t="n"/>
      <c r="C370" s="34" t="n"/>
      <c r="K370" s="37" t="n"/>
      <c r="L370" s="37" t="n"/>
    </row>
    <row r="371">
      <c r="A371" s="34" t="n"/>
      <c r="B371" s="34" t="n"/>
      <c r="C371" s="34" t="n"/>
      <c r="K371" s="37" t="n"/>
      <c r="L371" s="37" t="n"/>
    </row>
    <row r="372">
      <c r="A372" s="34" t="n"/>
      <c r="B372" s="34" t="n"/>
      <c r="C372" s="34" t="n"/>
      <c r="K372" s="37" t="n"/>
      <c r="L372" s="37" t="n"/>
    </row>
    <row r="373">
      <c r="A373" s="34" t="n"/>
      <c r="B373" s="34" t="n"/>
      <c r="C373" s="34" t="n"/>
      <c r="K373" s="37" t="n"/>
      <c r="L373" s="37" t="n"/>
    </row>
    <row r="374">
      <c r="A374" s="34" t="n"/>
      <c r="B374" s="34" t="n"/>
      <c r="C374" s="34" t="n"/>
      <c r="K374" s="37" t="n"/>
      <c r="L374" s="37" t="n"/>
    </row>
    <row r="375">
      <c r="A375" s="34" t="n"/>
      <c r="B375" s="34" t="n"/>
      <c r="C375" s="34" t="n"/>
      <c r="K375" s="37" t="n"/>
      <c r="L375" s="37" t="n"/>
    </row>
    <row r="376">
      <c r="A376" s="34" t="n"/>
      <c r="B376" s="34" t="n"/>
      <c r="C376" s="34" t="n"/>
      <c r="K376" s="37" t="n"/>
      <c r="L376" s="37" t="n"/>
    </row>
    <row r="377">
      <c r="A377" s="34" t="n"/>
      <c r="B377" s="34" t="n"/>
      <c r="C377" s="34" t="n"/>
      <c r="K377" s="37" t="n"/>
      <c r="L377" s="37" t="n"/>
    </row>
    <row r="378">
      <c r="A378" s="34" t="n"/>
      <c r="B378" s="34" t="n"/>
      <c r="C378" s="34" t="n"/>
      <c r="K378" s="37" t="n"/>
      <c r="L378" s="37" t="n"/>
    </row>
    <row r="379">
      <c r="A379" s="34" t="n"/>
      <c r="B379" s="34" t="n"/>
      <c r="C379" s="34" t="n"/>
      <c r="K379" s="37" t="n"/>
      <c r="L379" s="37" t="n"/>
    </row>
    <row r="380">
      <c r="A380" s="34" t="n"/>
      <c r="B380" s="34" t="n"/>
      <c r="C380" s="34" t="n"/>
      <c r="K380" s="37" t="n"/>
      <c r="L380" s="37" t="n"/>
    </row>
    <row r="381">
      <c r="A381" s="34" t="n"/>
      <c r="B381" s="34" t="n"/>
      <c r="C381" s="34" t="n"/>
      <c r="K381" s="37" t="n"/>
      <c r="L381" s="37" t="n"/>
    </row>
    <row r="382">
      <c r="A382" s="34" t="n"/>
      <c r="B382" s="34" t="n"/>
      <c r="C382" s="34" t="n"/>
      <c r="K382" s="37" t="n"/>
      <c r="L382" s="37" t="n"/>
    </row>
    <row r="383">
      <c r="A383" s="34" t="n"/>
      <c r="B383" s="34" t="n"/>
      <c r="C383" s="34" t="n"/>
      <c r="K383" s="37" t="n"/>
      <c r="L383" s="37" t="n"/>
    </row>
    <row r="384">
      <c r="A384" s="34" t="n"/>
      <c r="B384" s="34" t="n"/>
      <c r="C384" s="34" t="n"/>
      <c r="K384" s="37" t="n"/>
      <c r="L384" s="37" t="n"/>
    </row>
    <row r="385">
      <c r="A385" s="34" t="n"/>
      <c r="B385" s="34" t="n"/>
      <c r="C385" s="34" t="n"/>
      <c r="K385" s="37" t="n"/>
      <c r="L385" s="37" t="n"/>
    </row>
    <row r="386">
      <c r="A386" s="34" t="n"/>
      <c r="B386" s="34" t="n"/>
      <c r="C386" s="34" t="n"/>
      <c r="K386" s="37" t="n"/>
      <c r="L386" s="37" t="n"/>
    </row>
    <row r="387">
      <c r="A387" s="34" t="n"/>
      <c r="B387" s="34" t="n"/>
      <c r="C387" s="34" t="n"/>
      <c r="K387" s="37" t="n"/>
      <c r="L387" s="37" t="n"/>
    </row>
    <row r="388">
      <c r="A388" s="34" t="n"/>
      <c r="B388" s="34" t="n"/>
      <c r="C388" s="34" t="n"/>
      <c r="K388" s="37" t="n"/>
      <c r="L388" s="37" t="n"/>
    </row>
    <row r="389">
      <c r="A389" s="34" t="n"/>
      <c r="B389" s="34" t="n"/>
      <c r="C389" s="34" t="n"/>
      <c r="K389" s="37" t="n"/>
      <c r="L389" s="37" t="n"/>
    </row>
    <row r="390">
      <c r="A390" s="34" t="n"/>
      <c r="B390" s="34" t="n"/>
      <c r="C390" s="34" t="n"/>
      <c r="K390" s="37" t="n"/>
      <c r="L390" s="37" t="n"/>
    </row>
    <row r="391">
      <c r="A391" s="34" t="n"/>
      <c r="B391" s="34" t="n"/>
      <c r="C391" s="34" t="n"/>
      <c r="K391" s="37" t="n"/>
      <c r="L391" s="37" t="n"/>
    </row>
    <row r="392">
      <c r="A392" s="34" t="n"/>
      <c r="B392" s="34" t="n"/>
      <c r="C392" s="34" t="n"/>
      <c r="K392" s="37" t="n"/>
      <c r="L392" s="37" t="n"/>
    </row>
    <row r="393">
      <c r="A393" s="34" t="n"/>
      <c r="B393" s="34" t="n"/>
      <c r="C393" s="34" t="n"/>
      <c r="K393" s="37" t="n"/>
      <c r="L393" s="37" t="n"/>
    </row>
    <row r="394">
      <c r="A394" s="34" t="n"/>
      <c r="B394" s="34" t="n"/>
      <c r="C394" s="34" t="n"/>
      <c r="K394" s="37" t="n"/>
      <c r="L394" s="37" t="n"/>
    </row>
    <row r="395">
      <c r="A395" s="34" t="n"/>
      <c r="B395" s="34" t="n"/>
      <c r="C395" s="34" t="n"/>
      <c r="K395" s="37" t="n"/>
      <c r="L395" s="37" t="n"/>
    </row>
    <row r="396">
      <c r="A396" s="34" t="n"/>
      <c r="B396" s="34" t="n"/>
      <c r="C396" s="34" t="n"/>
      <c r="K396" s="37" t="n"/>
      <c r="L396" s="37" t="n"/>
    </row>
    <row r="397">
      <c r="A397" s="34" t="n"/>
      <c r="B397" s="34" t="n"/>
      <c r="C397" s="34" t="n"/>
      <c r="K397" s="37" t="n"/>
      <c r="L397" s="37" t="n"/>
    </row>
    <row r="398">
      <c r="A398" s="34" t="n"/>
      <c r="B398" s="34" t="n"/>
      <c r="C398" s="34" t="n"/>
      <c r="K398" s="37" t="n"/>
      <c r="L398" s="37" t="n"/>
    </row>
    <row r="399">
      <c r="A399" s="34" t="n"/>
      <c r="B399" s="34" t="n"/>
      <c r="C399" s="34" t="n"/>
      <c r="K399" s="37" t="n"/>
      <c r="L399" s="37" t="n"/>
    </row>
    <row r="400">
      <c r="A400" s="34" t="n"/>
      <c r="B400" s="34" t="n"/>
      <c r="C400" s="34" t="n"/>
      <c r="K400" s="37" t="n"/>
      <c r="L400" s="37" t="n"/>
    </row>
    <row r="401">
      <c r="A401" s="34" t="n"/>
      <c r="B401" s="34" t="n"/>
      <c r="C401" s="34" t="n"/>
      <c r="K401" s="37" t="n"/>
      <c r="L401" s="37" t="n"/>
    </row>
    <row r="402">
      <c r="A402" s="34" t="n"/>
      <c r="B402" s="34" t="n"/>
      <c r="C402" s="34" t="n"/>
      <c r="K402" s="37" t="n"/>
      <c r="L402" s="37" t="n"/>
    </row>
    <row r="403">
      <c r="A403" s="34" t="n"/>
      <c r="B403" s="34" t="n"/>
      <c r="C403" s="34" t="n"/>
      <c r="K403" s="37" t="n"/>
      <c r="L403" s="37" t="n"/>
    </row>
    <row r="404">
      <c r="A404" s="34" t="n"/>
      <c r="B404" s="34" t="n"/>
      <c r="C404" s="34" t="n"/>
      <c r="K404" s="37" t="n"/>
      <c r="L404" s="37" t="n"/>
    </row>
    <row r="405">
      <c r="A405" s="34" t="n"/>
      <c r="B405" s="34" t="n"/>
      <c r="C405" s="34" t="n"/>
      <c r="K405" s="37" t="n"/>
      <c r="L405" s="37" t="n"/>
    </row>
    <row r="406">
      <c r="A406" s="34" t="n"/>
      <c r="B406" s="34" t="n"/>
      <c r="C406" s="34" t="n"/>
      <c r="K406" s="37" t="n"/>
      <c r="L406" s="37" t="n"/>
    </row>
    <row r="407">
      <c r="A407" s="34" t="n"/>
      <c r="B407" s="34" t="n"/>
      <c r="C407" s="34" t="n"/>
      <c r="K407" s="37" t="n"/>
      <c r="L407" s="37" t="n"/>
    </row>
    <row r="408">
      <c r="A408" s="34" t="n"/>
      <c r="B408" s="34" t="n"/>
      <c r="C408" s="34" t="n"/>
      <c r="K408" s="37" t="n"/>
      <c r="L408" s="37" t="n"/>
    </row>
    <row r="409">
      <c r="A409" s="34" t="n"/>
      <c r="B409" s="34" t="n"/>
      <c r="C409" s="34" t="n"/>
      <c r="K409" s="37" t="n"/>
      <c r="L409" s="37" t="n"/>
    </row>
    <row r="410">
      <c r="A410" s="34" t="n"/>
      <c r="B410" s="34" t="n"/>
      <c r="C410" s="34" t="n"/>
      <c r="K410" s="37" t="n"/>
      <c r="L410" s="37" t="n"/>
    </row>
    <row r="411">
      <c r="A411" s="34" t="n"/>
      <c r="B411" s="34" t="n"/>
      <c r="C411" s="34" t="n"/>
      <c r="K411" s="37" t="n"/>
      <c r="L411" s="37" t="n"/>
    </row>
    <row r="412">
      <c r="A412" s="34" t="n"/>
      <c r="B412" s="34" t="n"/>
      <c r="C412" s="34" t="n"/>
      <c r="K412" s="37" t="n"/>
      <c r="L412" s="37" t="n"/>
    </row>
    <row r="413">
      <c r="A413" s="34" t="n"/>
      <c r="B413" s="34" t="n"/>
      <c r="C413" s="34" t="n"/>
      <c r="K413" s="37" t="n"/>
      <c r="L413" s="37" t="n"/>
    </row>
    <row r="414">
      <c r="A414" s="34" t="n"/>
      <c r="B414" s="34" t="n"/>
      <c r="C414" s="34" t="n"/>
      <c r="K414" s="37" t="n"/>
      <c r="L414" s="37" t="n"/>
    </row>
    <row r="415">
      <c r="A415" s="34" t="n"/>
      <c r="B415" s="34" t="n"/>
      <c r="C415" s="34" t="n"/>
      <c r="K415" s="37" t="n"/>
      <c r="L415" s="37" t="n"/>
    </row>
    <row r="416">
      <c r="A416" s="34" t="n"/>
      <c r="B416" s="34" t="n"/>
      <c r="C416" s="34" t="n"/>
      <c r="K416" s="37" t="n"/>
      <c r="L416" s="37" t="n"/>
    </row>
    <row r="417">
      <c r="A417" s="34" t="n"/>
      <c r="B417" s="34" t="n"/>
      <c r="C417" s="34" t="n"/>
      <c r="K417" s="37" t="n"/>
      <c r="L417" s="37" t="n"/>
    </row>
    <row r="418">
      <c r="A418" s="34" t="n"/>
      <c r="B418" s="34" t="n"/>
      <c r="C418" s="34" t="n"/>
      <c r="K418" s="37" t="n"/>
      <c r="L418" s="37" t="n"/>
    </row>
    <row r="419">
      <c r="A419" s="34" t="n"/>
      <c r="B419" s="34" t="n"/>
      <c r="C419" s="34" t="n"/>
      <c r="K419" s="37" t="n"/>
      <c r="L419" s="37" t="n"/>
    </row>
    <row r="420">
      <c r="A420" s="34" t="n"/>
      <c r="B420" s="34" t="n"/>
      <c r="C420" s="34" t="n"/>
      <c r="K420" s="37" t="n"/>
      <c r="L420" s="37" t="n"/>
    </row>
    <row r="421">
      <c r="A421" s="34" t="n"/>
      <c r="B421" s="34" t="n"/>
      <c r="C421" s="34" t="n"/>
      <c r="K421" s="37" t="n"/>
      <c r="L421" s="37" t="n"/>
    </row>
    <row r="422">
      <c r="A422" s="34" t="n"/>
      <c r="B422" s="34" t="n"/>
      <c r="C422" s="34" t="n"/>
      <c r="K422" s="37" t="n"/>
      <c r="L422" s="37" t="n"/>
    </row>
    <row r="423">
      <c r="A423" s="34" t="n"/>
      <c r="B423" s="34" t="n"/>
      <c r="C423" s="34" t="n"/>
      <c r="K423" s="37" t="n"/>
      <c r="L423" s="37" t="n"/>
    </row>
    <row r="424">
      <c r="A424" s="34" t="n"/>
      <c r="B424" s="34" t="n"/>
      <c r="C424" s="34" t="n"/>
      <c r="K424" s="37" t="n"/>
      <c r="L424" s="37" t="n"/>
    </row>
    <row r="425">
      <c r="A425" s="34" t="n"/>
      <c r="B425" s="34" t="n"/>
      <c r="C425" s="34" t="n"/>
      <c r="K425" s="37" t="n"/>
      <c r="L425" s="37" t="n"/>
    </row>
    <row r="426">
      <c r="A426" s="34" t="n"/>
      <c r="B426" s="34" t="n"/>
      <c r="C426" s="34" t="n"/>
      <c r="K426" s="37" t="n"/>
      <c r="L426" s="37" t="n"/>
    </row>
    <row r="427">
      <c r="A427" s="34" t="n"/>
      <c r="B427" s="34" t="n"/>
      <c r="C427" s="34" t="n"/>
      <c r="K427" s="37" t="n"/>
      <c r="L427" s="37" t="n"/>
    </row>
    <row r="428">
      <c r="A428" s="34" t="n"/>
      <c r="B428" s="34" t="n"/>
      <c r="C428" s="34" t="n"/>
      <c r="K428" s="37" t="n"/>
      <c r="L428" s="37" t="n"/>
    </row>
    <row r="429">
      <c r="A429" s="34" t="n"/>
      <c r="B429" s="34" t="n"/>
      <c r="C429" s="34" t="n"/>
      <c r="K429" s="37" t="n"/>
      <c r="L429" s="37" t="n"/>
    </row>
    <row r="430">
      <c r="A430" s="34" t="n"/>
      <c r="B430" s="34" t="n"/>
      <c r="C430" s="34" t="n"/>
      <c r="K430" s="37" t="n"/>
      <c r="L430" s="37" t="n"/>
    </row>
    <row r="431">
      <c r="A431" s="34" t="n"/>
      <c r="B431" s="34" t="n"/>
      <c r="C431" s="34" t="n"/>
      <c r="K431" s="37" t="n"/>
      <c r="L431" s="37" t="n"/>
    </row>
    <row r="432">
      <c r="A432" s="34" t="n"/>
      <c r="B432" s="34" t="n"/>
      <c r="C432" s="34" t="n"/>
      <c r="K432" s="37" t="n"/>
      <c r="L432" s="37" t="n"/>
    </row>
    <row r="433">
      <c r="A433" s="34" t="n"/>
      <c r="B433" s="34" t="n"/>
      <c r="C433" s="34" t="n"/>
      <c r="K433" s="37" t="n"/>
      <c r="L433" s="37" t="n"/>
    </row>
    <row r="434">
      <c r="A434" s="34" t="n"/>
      <c r="B434" s="34" t="n"/>
      <c r="C434" s="34" t="n"/>
      <c r="K434" s="37" t="n"/>
      <c r="L434" s="37" t="n"/>
    </row>
    <row r="435">
      <c r="A435" s="34" t="n"/>
      <c r="B435" s="34" t="n"/>
      <c r="C435" s="34" t="n"/>
      <c r="K435" s="37" t="n"/>
      <c r="L435" s="37" t="n"/>
    </row>
    <row r="436">
      <c r="A436" s="34" t="n"/>
      <c r="B436" s="34" t="n"/>
      <c r="C436" s="34" t="n"/>
      <c r="K436" s="37" t="n"/>
      <c r="L436" s="37" t="n"/>
    </row>
    <row r="437">
      <c r="A437" s="34" t="n"/>
      <c r="B437" s="34" t="n"/>
      <c r="C437" s="34" t="n"/>
      <c r="K437" s="37" t="n"/>
      <c r="L437" s="37" t="n"/>
    </row>
    <row r="438">
      <c r="A438" s="34" t="n"/>
      <c r="B438" s="34" t="n"/>
      <c r="C438" s="34" t="n"/>
      <c r="K438" s="37" t="n"/>
      <c r="L438" s="37" t="n"/>
    </row>
    <row r="439">
      <c r="A439" s="34" t="n"/>
      <c r="B439" s="34" t="n"/>
      <c r="C439" s="34" t="n"/>
      <c r="K439" s="37" t="n"/>
      <c r="L439" s="37" t="n"/>
    </row>
    <row r="440">
      <c r="A440" s="34" t="n"/>
      <c r="B440" s="34" t="n"/>
      <c r="C440" s="34" t="n"/>
      <c r="K440" s="37" t="n"/>
      <c r="L440" s="37" t="n"/>
    </row>
    <row r="441">
      <c r="A441" s="34" t="n"/>
      <c r="B441" s="34" t="n"/>
      <c r="C441" s="34" t="n"/>
      <c r="K441" s="37" t="n"/>
      <c r="L441" s="37" t="n"/>
    </row>
    <row r="442">
      <c r="A442" s="34" t="n"/>
      <c r="B442" s="34" t="n"/>
      <c r="C442" s="34" t="n"/>
      <c r="K442" s="37" t="n"/>
      <c r="L442" s="37" t="n"/>
    </row>
    <row r="443">
      <c r="A443" s="34" t="n"/>
      <c r="B443" s="34" t="n"/>
      <c r="C443" s="34" t="n"/>
      <c r="K443" s="37" t="n"/>
      <c r="L443" s="37" t="n"/>
    </row>
    <row r="444">
      <c r="A444" s="34" t="n"/>
      <c r="B444" s="34" t="n"/>
      <c r="C444" s="34" t="n"/>
      <c r="K444" s="37" t="n"/>
      <c r="L444" s="37" t="n"/>
    </row>
    <row r="445">
      <c r="A445" s="34" t="n"/>
      <c r="B445" s="34" t="n"/>
      <c r="C445" s="34" t="n"/>
      <c r="K445" s="37" t="n"/>
      <c r="L445" s="37" t="n"/>
    </row>
    <row r="446">
      <c r="A446" s="34" t="n"/>
      <c r="B446" s="34" t="n"/>
      <c r="C446" s="34" t="n"/>
      <c r="K446" s="37" t="n"/>
      <c r="L446" s="37" t="n"/>
    </row>
    <row r="447">
      <c r="A447" s="34" t="n"/>
      <c r="B447" s="34" t="n"/>
      <c r="C447" s="34" t="n"/>
      <c r="K447" s="37" t="n"/>
      <c r="L447" s="37" t="n"/>
    </row>
    <row r="448">
      <c r="A448" s="34" t="n"/>
      <c r="B448" s="34" t="n"/>
      <c r="C448" s="34" t="n"/>
      <c r="K448" s="37" t="n"/>
      <c r="L448" s="37" t="n"/>
    </row>
    <row r="449">
      <c r="A449" s="34" t="n"/>
      <c r="B449" s="34" t="n"/>
      <c r="C449" s="34" t="n"/>
      <c r="K449" s="37" t="n"/>
      <c r="L449" s="37" t="n"/>
    </row>
    <row r="450">
      <c r="A450" s="34" t="n"/>
      <c r="B450" s="34" t="n"/>
      <c r="C450" s="34" t="n"/>
      <c r="K450" s="37" t="n"/>
      <c r="L450" s="37" t="n"/>
    </row>
    <row r="451">
      <c r="A451" s="34" t="n"/>
      <c r="B451" s="34" t="n"/>
      <c r="C451" s="34" t="n"/>
      <c r="K451" s="37" t="n"/>
      <c r="L451" s="37" t="n"/>
    </row>
    <row r="452">
      <c r="A452" s="34" t="n"/>
      <c r="B452" s="34" t="n"/>
      <c r="C452" s="34" t="n"/>
      <c r="K452" s="37" t="n"/>
      <c r="L452" s="37" t="n"/>
    </row>
    <row r="453">
      <c r="A453" s="34" t="n"/>
      <c r="B453" s="34" t="n"/>
      <c r="C453" s="34" t="n"/>
      <c r="K453" s="37" t="n"/>
      <c r="L453" s="37" t="n"/>
    </row>
    <row r="454">
      <c r="A454" s="34" t="n"/>
      <c r="B454" s="34" t="n"/>
      <c r="C454" s="34" t="n"/>
      <c r="K454" s="37" t="n"/>
      <c r="L454" s="37" t="n"/>
    </row>
    <row r="455">
      <c r="A455" s="34" t="n"/>
      <c r="B455" s="34" t="n"/>
      <c r="C455" s="34" t="n"/>
      <c r="K455" s="37" t="n"/>
      <c r="L455" s="37" t="n"/>
    </row>
    <row r="456">
      <c r="A456" s="34" t="n"/>
      <c r="B456" s="34" t="n"/>
      <c r="C456" s="34" t="n"/>
      <c r="K456" s="37" t="n"/>
      <c r="L456" s="37" t="n"/>
    </row>
    <row r="457">
      <c r="A457" s="34" t="n"/>
      <c r="B457" s="34" t="n"/>
      <c r="C457" s="34" t="n"/>
      <c r="K457" s="37" t="n"/>
      <c r="L457" s="37" t="n"/>
    </row>
    <row r="458">
      <c r="A458" s="34" t="n"/>
      <c r="B458" s="34" t="n"/>
      <c r="C458" s="34" t="n"/>
      <c r="K458" s="37" t="n"/>
      <c r="L458" s="37" t="n"/>
    </row>
    <row r="459">
      <c r="A459" s="34" t="n"/>
      <c r="B459" s="34" t="n"/>
      <c r="C459" s="34" t="n"/>
      <c r="K459" s="37" t="n"/>
      <c r="L459" s="37" t="n"/>
    </row>
    <row r="460">
      <c r="A460" s="34" t="n"/>
      <c r="B460" s="34" t="n"/>
      <c r="C460" s="34" t="n"/>
      <c r="K460" s="37" t="n"/>
      <c r="L460" s="37" t="n"/>
    </row>
    <row r="461">
      <c r="A461" s="34" t="n"/>
      <c r="B461" s="34" t="n"/>
      <c r="C461" s="34" t="n"/>
      <c r="K461" s="37" t="n"/>
      <c r="L461" s="37" t="n"/>
    </row>
    <row r="462">
      <c r="A462" s="34" t="n"/>
      <c r="B462" s="34" t="n"/>
      <c r="C462" s="34" t="n"/>
      <c r="K462" s="37" t="n"/>
      <c r="L462" s="37" t="n"/>
    </row>
    <row r="463">
      <c r="A463" s="34" t="n"/>
      <c r="B463" s="34" t="n"/>
      <c r="C463" s="34" t="n"/>
      <c r="K463" s="37" t="n"/>
      <c r="L463" s="37" t="n"/>
    </row>
    <row r="464">
      <c r="A464" s="34" t="n"/>
      <c r="B464" s="34" t="n"/>
      <c r="C464" s="34" t="n"/>
      <c r="K464" s="37" t="n"/>
      <c r="L464" s="37" t="n"/>
    </row>
    <row r="465">
      <c r="A465" s="34" t="n"/>
      <c r="B465" s="34" t="n"/>
      <c r="C465" s="34" t="n"/>
      <c r="K465" s="37" t="n"/>
      <c r="L465" s="37" t="n"/>
    </row>
    <row r="466">
      <c r="A466" s="34" t="n"/>
      <c r="B466" s="34" t="n"/>
      <c r="C466" s="34" t="n"/>
      <c r="K466" s="37" t="n"/>
      <c r="L466" s="37" t="n"/>
    </row>
    <row r="467">
      <c r="A467" s="34" t="n"/>
      <c r="B467" s="34" t="n"/>
      <c r="C467" s="34" t="n"/>
      <c r="K467" s="37" t="n"/>
      <c r="L467" s="37" t="n"/>
    </row>
    <row r="468">
      <c r="A468" s="34" t="n"/>
      <c r="B468" s="34" t="n"/>
      <c r="C468" s="34" t="n"/>
      <c r="K468" s="37" t="n"/>
      <c r="L468" s="37" t="n"/>
    </row>
    <row r="469">
      <c r="A469" s="34" t="n"/>
      <c r="B469" s="34" t="n"/>
      <c r="C469" s="34" t="n"/>
      <c r="K469" s="37" t="n"/>
      <c r="L469" s="37" t="n"/>
    </row>
    <row r="470">
      <c r="A470" s="34" t="n"/>
      <c r="B470" s="34" t="n"/>
      <c r="C470" s="34" t="n"/>
      <c r="K470" s="37" t="n"/>
      <c r="L470" s="37" t="n"/>
    </row>
    <row r="471">
      <c r="A471" s="34" t="n"/>
      <c r="B471" s="34" t="n"/>
      <c r="C471" s="34" t="n"/>
      <c r="K471" s="37" t="n"/>
      <c r="L471" s="37" t="n"/>
    </row>
    <row r="472">
      <c r="A472" s="34" t="n"/>
      <c r="B472" s="34" t="n"/>
      <c r="C472" s="34" t="n"/>
      <c r="K472" s="37" t="n"/>
      <c r="L472" s="37" t="n"/>
    </row>
    <row r="473">
      <c r="A473" s="34" t="n"/>
      <c r="B473" s="34" t="n"/>
      <c r="C473" s="34" t="n"/>
      <c r="K473" s="37" t="n"/>
      <c r="L473" s="37" t="n"/>
    </row>
    <row r="474">
      <c r="A474" s="34" t="n"/>
      <c r="B474" s="34" t="n"/>
      <c r="C474" s="34" t="n"/>
      <c r="K474" s="37" t="n"/>
      <c r="L474" s="37" t="n"/>
    </row>
    <row r="475">
      <c r="A475" s="34" t="n"/>
      <c r="B475" s="34" t="n"/>
      <c r="C475" s="34" t="n"/>
      <c r="K475" s="37" t="n"/>
      <c r="L475" s="37" t="n"/>
    </row>
    <row r="476">
      <c r="A476" s="34" t="n"/>
      <c r="B476" s="34" t="n"/>
      <c r="C476" s="34" t="n"/>
      <c r="K476" s="37" t="n"/>
      <c r="L476" s="37" t="n"/>
    </row>
    <row r="477">
      <c r="A477" s="34" t="n"/>
      <c r="B477" s="34" t="n"/>
      <c r="C477" s="34" t="n"/>
      <c r="K477" s="37" t="n"/>
      <c r="L477" s="37" t="n"/>
    </row>
    <row r="478">
      <c r="A478" s="34" t="n"/>
      <c r="B478" s="34" t="n"/>
      <c r="C478" s="34" t="n"/>
      <c r="K478" s="37" t="n"/>
      <c r="L478" s="37" t="n"/>
    </row>
    <row r="479">
      <c r="A479" s="34" t="n"/>
      <c r="B479" s="34" t="n"/>
      <c r="C479" s="34" t="n"/>
      <c r="K479" s="37" t="n"/>
      <c r="L479" s="37" t="n"/>
    </row>
    <row r="480">
      <c r="A480" s="34" t="n"/>
      <c r="B480" s="34" t="n"/>
      <c r="C480" s="34" t="n"/>
      <c r="K480" s="37" t="n"/>
      <c r="L480" s="37" t="n"/>
    </row>
    <row r="481">
      <c r="A481" s="34" t="n"/>
      <c r="B481" s="34" t="n"/>
      <c r="C481" s="34" t="n"/>
      <c r="K481" s="37" t="n"/>
      <c r="L481" s="37" t="n"/>
    </row>
    <row r="482">
      <c r="A482" s="34" t="n"/>
      <c r="B482" s="34" t="n"/>
      <c r="C482" s="34" t="n"/>
      <c r="K482" s="37" t="n"/>
      <c r="L482" s="37" t="n"/>
    </row>
    <row r="483">
      <c r="A483" s="34" t="n"/>
      <c r="B483" s="34" t="n"/>
      <c r="C483" s="34" t="n"/>
      <c r="K483" s="37" t="n"/>
      <c r="L483" s="37" t="n"/>
    </row>
    <row r="484">
      <c r="A484" s="34" t="n"/>
      <c r="B484" s="34" t="n"/>
      <c r="C484" s="34" t="n"/>
      <c r="K484" s="37" t="n"/>
      <c r="L484" s="37" t="n"/>
    </row>
    <row r="485">
      <c r="A485" s="34" t="n"/>
      <c r="B485" s="34" t="n"/>
      <c r="C485" s="34" t="n"/>
      <c r="K485" s="37" t="n"/>
      <c r="L485" s="37" t="n"/>
    </row>
    <row r="486">
      <c r="A486" s="34" t="n"/>
      <c r="B486" s="34" t="n"/>
      <c r="C486" s="34" t="n"/>
      <c r="K486" s="37" t="n"/>
      <c r="L486" s="37" t="n"/>
    </row>
    <row r="487">
      <c r="A487" s="34" t="n"/>
      <c r="B487" s="34" t="n"/>
      <c r="C487" s="34" t="n"/>
      <c r="K487" s="37" t="n"/>
      <c r="L487" s="37" t="n"/>
    </row>
    <row r="488">
      <c r="A488" s="34" t="n"/>
      <c r="B488" s="34" t="n"/>
      <c r="C488" s="34" t="n"/>
      <c r="K488" s="37" t="n"/>
      <c r="L488" s="37" t="n"/>
    </row>
    <row r="489">
      <c r="A489" s="34" t="n"/>
      <c r="B489" s="34" t="n"/>
      <c r="C489" s="34" t="n"/>
      <c r="K489" s="37" t="n"/>
      <c r="L489" s="37" t="n"/>
    </row>
    <row r="490">
      <c r="A490" s="34" t="n"/>
      <c r="B490" s="34" t="n"/>
      <c r="C490" s="34" t="n"/>
      <c r="K490" s="37" t="n"/>
      <c r="L490" s="37" t="n"/>
    </row>
    <row r="491">
      <c r="A491" s="34" t="n"/>
      <c r="B491" s="34" t="n"/>
      <c r="C491" s="34" t="n"/>
      <c r="K491" s="37" t="n"/>
      <c r="L491" s="37" t="n"/>
    </row>
    <row r="492">
      <c r="A492" s="34" t="n"/>
      <c r="B492" s="34" t="n"/>
      <c r="C492" s="34" t="n"/>
      <c r="K492" s="37" t="n"/>
      <c r="L492" s="37" t="n"/>
    </row>
    <row r="493">
      <c r="A493" s="34" t="n"/>
      <c r="B493" s="34" t="n"/>
      <c r="C493" s="34" t="n"/>
      <c r="K493" s="37" t="n"/>
      <c r="L493" s="37" t="n"/>
    </row>
    <row r="494">
      <c r="A494" s="34" t="n"/>
      <c r="B494" s="34" t="n"/>
      <c r="C494" s="34" t="n"/>
      <c r="K494" s="37" t="n"/>
      <c r="L494" s="37" t="n"/>
    </row>
    <row r="495">
      <c r="A495" s="34" t="n"/>
      <c r="B495" s="34" t="n"/>
      <c r="C495" s="34" t="n"/>
      <c r="K495" s="37" t="n"/>
      <c r="L495" s="37" t="n"/>
    </row>
    <row r="496">
      <c r="A496" s="34" t="n"/>
      <c r="B496" s="34" t="n"/>
      <c r="C496" s="34" t="n"/>
      <c r="K496" s="37" t="n"/>
      <c r="L496" s="37" t="n"/>
    </row>
    <row r="497">
      <c r="A497" s="34" t="n"/>
      <c r="B497" s="34" t="n"/>
      <c r="C497" s="34" t="n"/>
      <c r="K497" s="37" t="n"/>
      <c r="L497" s="37" t="n"/>
    </row>
    <row r="498">
      <c r="A498" s="34" t="n"/>
      <c r="B498" s="34" t="n"/>
      <c r="C498" s="34" t="n"/>
      <c r="K498" s="37" t="n"/>
      <c r="L498" s="37" t="n"/>
    </row>
    <row r="499">
      <c r="A499" s="34" t="n"/>
      <c r="B499" s="34" t="n"/>
      <c r="C499" s="34" t="n"/>
      <c r="K499" s="37" t="n"/>
      <c r="L499" s="37" t="n"/>
    </row>
    <row r="500">
      <c r="A500" s="34" t="n"/>
      <c r="B500" s="34" t="n"/>
      <c r="C500" s="34" t="n"/>
      <c r="K500" s="37" t="n"/>
      <c r="L500" s="37" t="n"/>
    </row>
    <row r="501">
      <c r="A501" s="34" t="n"/>
      <c r="B501" s="34" t="n"/>
      <c r="C501" s="34" t="n"/>
      <c r="K501" s="37" t="n"/>
      <c r="L501" s="37" t="n"/>
    </row>
    <row r="502">
      <c r="A502" s="34" t="n"/>
      <c r="B502" s="34" t="n"/>
      <c r="C502" s="34" t="n"/>
      <c r="K502" s="37" t="n"/>
      <c r="L502" s="37" t="n"/>
    </row>
    <row r="503">
      <c r="A503" s="34" t="n"/>
      <c r="B503" s="34" t="n"/>
      <c r="C503" s="34" t="n"/>
      <c r="K503" s="37" t="n"/>
      <c r="L503" s="37" t="n"/>
    </row>
    <row r="504">
      <c r="A504" s="34" t="n"/>
      <c r="B504" s="34" t="n"/>
      <c r="C504" s="34" t="n"/>
      <c r="K504" s="37" t="n"/>
      <c r="L504" s="37" t="n"/>
    </row>
    <row r="505">
      <c r="A505" s="34" t="n"/>
      <c r="B505" s="34" t="n"/>
      <c r="C505" s="34" t="n"/>
      <c r="K505" s="37" t="n"/>
      <c r="L505" s="37" t="n"/>
    </row>
    <row r="506">
      <c r="A506" s="34" t="n"/>
      <c r="B506" s="34" t="n"/>
      <c r="C506" s="34" t="n"/>
      <c r="K506" s="37" t="n"/>
      <c r="L506" s="37" t="n"/>
    </row>
    <row r="507">
      <c r="A507" s="34" t="n"/>
      <c r="B507" s="34" t="n"/>
      <c r="C507" s="34" t="n"/>
      <c r="K507" s="37" t="n"/>
      <c r="L507" s="37" t="n"/>
    </row>
    <row r="508">
      <c r="A508" s="34" t="n"/>
      <c r="B508" s="34" t="n"/>
      <c r="C508" s="34" t="n"/>
      <c r="K508" s="37" t="n"/>
      <c r="L508" s="37" t="n"/>
    </row>
    <row r="509">
      <c r="A509" s="34" t="n"/>
      <c r="B509" s="34" t="n"/>
      <c r="C509" s="34" t="n"/>
      <c r="K509" s="37" t="n"/>
      <c r="L509" s="37" t="n"/>
    </row>
    <row r="510">
      <c r="A510" s="34" t="n"/>
      <c r="B510" s="34" t="n"/>
      <c r="C510" s="34" t="n"/>
      <c r="K510" s="37" t="n"/>
      <c r="L510" s="37" t="n"/>
    </row>
    <row r="511">
      <c r="A511" s="34" t="n"/>
      <c r="B511" s="34" t="n"/>
      <c r="C511" s="34" t="n"/>
      <c r="K511" s="37" t="n"/>
      <c r="L511" s="37" t="n"/>
    </row>
    <row r="512">
      <c r="A512" s="34" t="n"/>
      <c r="B512" s="34" t="n"/>
      <c r="C512" s="34" t="n"/>
      <c r="K512" s="37" t="n"/>
      <c r="L512" s="37" t="n"/>
    </row>
    <row r="513">
      <c r="A513" s="34" t="n"/>
      <c r="B513" s="34" t="n"/>
      <c r="C513" s="34" t="n"/>
      <c r="K513" s="37" t="n"/>
      <c r="L513" s="37" t="n"/>
    </row>
    <row r="514">
      <c r="A514" s="34" t="n"/>
      <c r="B514" s="34" t="n"/>
      <c r="C514" s="34" t="n"/>
      <c r="K514" s="37" t="n"/>
      <c r="L514" s="37" t="n"/>
    </row>
    <row r="515">
      <c r="A515" s="34" t="n"/>
      <c r="B515" s="34" t="n"/>
      <c r="C515" s="34" t="n"/>
      <c r="K515" s="37" t="n"/>
      <c r="L515" s="37" t="n"/>
    </row>
    <row r="516">
      <c r="A516" s="34" t="n"/>
      <c r="B516" s="34" t="n"/>
      <c r="C516" s="34" t="n"/>
      <c r="K516" s="37" t="n"/>
      <c r="L516" s="37" t="n"/>
    </row>
    <row r="517">
      <c r="A517" s="34" t="n"/>
      <c r="B517" s="34" t="n"/>
      <c r="C517" s="34" t="n"/>
      <c r="K517" s="37" t="n"/>
      <c r="L517" s="37" t="n"/>
    </row>
    <row r="518">
      <c r="A518" s="34" t="n"/>
      <c r="B518" s="34" t="n"/>
      <c r="C518" s="34" t="n"/>
      <c r="K518" s="37" t="n"/>
      <c r="L518" s="37" t="n"/>
    </row>
    <row r="519">
      <c r="A519" s="34" t="n"/>
      <c r="B519" s="34" t="n"/>
      <c r="C519" s="34" t="n"/>
      <c r="K519" s="37" t="n"/>
      <c r="L519" s="37" t="n"/>
    </row>
    <row r="520">
      <c r="A520" s="34" t="n"/>
      <c r="B520" s="34" t="n"/>
      <c r="C520" s="34" t="n"/>
      <c r="K520" s="37" t="n"/>
      <c r="L520" s="37" t="n"/>
    </row>
    <row r="521">
      <c r="A521" s="34" t="n"/>
      <c r="B521" s="34" t="n"/>
      <c r="C521" s="34" t="n"/>
      <c r="K521" s="37" t="n"/>
      <c r="L521" s="37" t="n"/>
    </row>
    <row r="522">
      <c r="A522" s="34" t="n"/>
      <c r="B522" s="34" t="n"/>
      <c r="C522" s="34" t="n"/>
      <c r="K522" s="37" t="n"/>
      <c r="L522" s="37" t="n"/>
    </row>
    <row r="523">
      <c r="A523" s="34" t="n"/>
      <c r="B523" s="34" t="n"/>
      <c r="C523" s="34" t="n"/>
      <c r="K523" s="37" t="n"/>
      <c r="L523" s="37" t="n"/>
    </row>
    <row r="524">
      <c r="A524" s="34" t="n"/>
      <c r="B524" s="34" t="n"/>
      <c r="C524" s="34" t="n"/>
      <c r="K524" s="37" t="n"/>
      <c r="L524" s="37" t="n"/>
    </row>
    <row r="525">
      <c r="A525" s="34" t="n"/>
      <c r="B525" s="34" t="n"/>
      <c r="C525" s="34" t="n"/>
      <c r="K525" s="37" t="n"/>
      <c r="L525" s="37" t="n"/>
    </row>
    <row r="526">
      <c r="A526" s="34" t="n"/>
      <c r="B526" s="34" t="n"/>
      <c r="C526" s="34" t="n"/>
      <c r="K526" s="37" t="n"/>
      <c r="L526" s="37" t="n"/>
    </row>
    <row r="527">
      <c r="A527" s="34" t="n"/>
      <c r="B527" s="34" t="n"/>
      <c r="C527" s="34" t="n"/>
      <c r="K527" s="37" t="n"/>
      <c r="L527" s="37" t="n"/>
    </row>
    <row r="528">
      <c r="A528" s="34" t="n"/>
      <c r="B528" s="34" t="n"/>
      <c r="C528" s="34" t="n"/>
      <c r="K528" s="37" t="n"/>
      <c r="L528" s="37" t="n"/>
    </row>
    <row r="529">
      <c r="A529" s="34" t="n"/>
      <c r="B529" s="34" t="n"/>
      <c r="C529" s="34" t="n"/>
      <c r="K529" s="37" t="n"/>
      <c r="L529" s="37" t="n"/>
    </row>
    <row r="530">
      <c r="A530" s="34" t="n"/>
      <c r="B530" s="34" t="n"/>
      <c r="C530" s="34" t="n"/>
      <c r="K530" s="37" t="n"/>
      <c r="L530" s="37" t="n"/>
    </row>
    <row r="531">
      <c r="A531" s="34" t="n"/>
      <c r="B531" s="34" t="n"/>
      <c r="C531" s="34" t="n"/>
      <c r="K531" s="37" t="n"/>
      <c r="L531" s="37" t="n"/>
    </row>
    <row r="532">
      <c r="A532" s="34" t="n"/>
      <c r="B532" s="34" t="n"/>
      <c r="C532" s="34" t="n"/>
      <c r="K532" s="37" t="n"/>
      <c r="L532" s="37" t="n"/>
    </row>
    <row r="533">
      <c r="A533" s="34" t="n"/>
      <c r="B533" s="34" t="n"/>
      <c r="C533" s="34" t="n"/>
      <c r="K533" s="37" t="n"/>
      <c r="L533" s="37" t="n"/>
    </row>
    <row r="534">
      <c r="A534" s="34" t="n"/>
      <c r="B534" s="34" t="n"/>
      <c r="C534" s="34" t="n"/>
      <c r="K534" s="37" t="n"/>
      <c r="L534" s="37" t="n"/>
    </row>
    <row r="535">
      <c r="A535" s="34" t="n"/>
      <c r="B535" s="34" t="n"/>
      <c r="C535" s="34" t="n"/>
      <c r="K535" s="37" t="n"/>
      <c r="L535" s="37" t="n"/>
    </row>
    <row r="536">
      <c r="A536" s="34" t="n"/>
      <c r="B536" s="34" t="n"/>
      <c r="C536" s="34" t="n"/>
      <c r="K536" s="37" t="n"/>
      <c r="L536" s="37" t="n"/>
    </row>
    <row r="537">
      <c r="A537" s="34" t="n"/>
      <c r="B537" s="34" t="n"/>
      <c r="C537" s="34" t="n"/>
      <c r="K537" s="37" t="n"/>
      <c r="L537" s="37" t="n"/>
    </row>
    <row r="538">
      <c r="A538" s="34" t="n"/>
      <c r="B538" s="34" t="n"/>
      <c r="C538" s="34" t="n"/>
      <c r="K538" s="37" t="n"/>
      <c r="L538" s="37" t="n"/>
    </row>
    <row r="539">
      <c r="A539" s="34" t="n"/>
      <c r="B539" s="34" t="n"/>
      <c r="C539" s="34" t="n"/>
      <c r="K539" s="37" t="n"/>
      <c r="L539" s="37" t="n"/>
    </row>
    <row r="540">
      <c r="A540" s="34" t="n"/>
      <c r="B540" s="34" t="n"/>
      <c r="C540" s="34" t="n"/>
      <c r="K540" s="37" t="n"/>
      <c r="L540" s="37" t="n"/>
    </row>
    <row r="541">
      <c r="A541" s="34" t="n"/>
      <c r="B541" s="34" t="n"/>
      <c r="C541" s="34" t="n"/>
      <c r="K541" s="37" t="n"/>
      <c r="L541" s="37" t="n"/>
    </row>
    <row r="542">
      <c r="A542" s="34" t="n"/>
      <c r="B542" s="34" t="n"/>
      <c r="C542" s="34" t="n"/>
      <c r="K542" s="37" t="n"/>
      <c r="L542" s="37" t="n"/>
    </row>
    <row r="543">
      <c r="A543" s="34" t="n"/>
      <c r="B543" s="34" t="n"/>
      <c r="C543" s="34" t="n"/>
      <c r="K543" s="37" t="n"/>
      <c r="L543" s="37" t="n"/>
    </row>
    <row r="544">
      <c r="A544" s="34" t="n"/>
      <c r="B544" s="34" t="n"/>
      <c r="C544" s="34" t="n"/>
      <c r="K544" s="37" t="n"/>
      <c r="L544" s="37" t="n"/>
    </row>
    <row r="545">
      <c r="A545" s="34" t="n"/>
      <c r="B545" s="34" t="n"/>
      <c r="C545" s="34" t="n"/>
      <c r="K545" s="37" t="n"/>
      <c r="L545" s="37" t="n"/>
    </row>
    <row r="546">
      <c r="A546" s="34" t="n"/>
      <c r="B546" s="34" t="n"/>
      <c r="C546" s="34" t="n"/>
      <c r="K546" s="37" t="n"/>
      <c r="L546" s="37" t="n"/>
    </row>
    <row r="547">
      <c r="A547" s="34" t="n"/>
      <c r="B547" s="34" t="n"/>
      <c r="C547" s="34" t="n"/>
      <c r="K547" s="37" t="n"/>
      <c r="L547" s="37" t="n"/>
    </row>
    <row r="548">
      <c r="A548" s="34" t="n"/>
      <c r="B548" s="34" t="n"/>
      <c r="C548" s="34" t="n"/>
      <c r="K548" s="37" t="n"/>
      <c r="L548" s="37" t="n"/>
    </row>
    <row r="549">
      <c r="A549" s="34" t="n"/>
      <c r="B549" s="34" t="n"/>
      <c r="C549" s="34" t="n"/>
      <c r="K549" s="37" t="n"/>
      <c r="L549" s="37" t="n"/>
    </row>
    <row r="550">
      <c r="A550" s="34" t="n"/>
      <c r="B550" s="34" t="n"/>
      <c r="C550" s="34" t="n"/>
      <c r="K550" s="37" t="n"/>
      <c r="L550" s="37" t="n"/>
    </row>
    <row r="551">
      <c r="A551" s="34" t="n"/>
      <c r="B551" s="34" t="n"/>
      <c r="C551" s="34" t="n"/>
      <c r="K551" s="37" t="n"/>
      <c r="L551" s="37" t="n"/>
    </row>
    <row r="552">
      <c r="A552" s="34" t="n"/>
      <c r="B552" s="34" t="n"/>
      <c r="C552" s="34" t="n"/>
      <c r="K552" s="37" t="n"/>
      <c r="L552" s="37" t="n"/>
    </row>
    <row r="553">
      <c r="A553" s="34" t="n"/>
      <c r="B553" s="34" t="n"/>
      <c r="C553" s="34" t="n"/>
      <c r="K553" s="37" t="n"/>
      <c r="L553" s="37" t="n"/>
    </row>
    <row r="554">
      <c r="A554" s="34" t="n"/>
      <c r="B554" s="34" t="n"/>
      <c r="C554" s="34" t="n"/>
      <c r="K554" s="37" t="n"/>
      <c r="L554" s="37" t="n"/>
    </row>
    <row r="555">
      <c r="A555" s="34" t="n"/>
      <c r="B555" s="34" t="n"/>
      <c r="C555" s="34" t="n"/>
      <c r="K555" s="37" t="n"/>
      <c r="L555" s="37" t="n"/>
    </row>
    <row r="556">
      <c r="A556" s="34" t="n"/>
      <c r="B556" s="34" t="n"/>
      <c r="C556" s="34" t="n"/>
      <c r="K556" s="37" t="n"/>
      <c r="L556" s="37" t="n"/>
    </row>
    <row r="557">
      <c r="A557" s="34" t="n"/>
      <c r="B557" s="34" t="n"/>
      <c r="C557" s="34" t="n"/>
      <c r="K557" s="37" t="n"/>
      <c r="L557" s="37" t="n"/>
    </row>
    <row r="558">
      <c r="A558" s="34" t="n"/>
      <c r="B558" s="34" t="n"/>
      <c r="C558" s="34" t="n"/>
      <c r="K558" s="37" t="n"/>
      <c r="L558" s="37" t="n"/>
    </row>
    <row r="559">
      <c r="A559" s="34" t="n"/>
      <c r="B559" s="34" t="n"/>
      <c r="C559" s="34" t="n"/>
      <c r="K559" s="37" t="n"/>
      <c r="L559" s="37" t="n"/>
    </row>
    <row r="560">
      <c r="A560" s="34" t="n"/>
      <c r="B560" s="34" t="n"/>
      <c r="C560" s="34" t="n"/>
      <c r="K560" s="37" t="n"/>
      <c r="L560" s="37" t="n"/>
    </row>
    <row r="561">
      <c r="A561" s="34" t="n"/>
      <c r="B561" s="34" t="n"/>
      <c r="C561" s="34" t="n"/>
      <c r="K561" s="37" t="n"/>
      <c r="L561" s="37" t="n"/>
    </row>
    <row r="562">
      <c r="A562" s="34" t="n"/>
      <c r="B562" s="34" t="n"/>
      <c r="C562" s="34" t="n"/>
      <c r="K562" s="37" t="n"/>
      <c r="L562" s="37" t="n"/>
    </row>
    <row r="563">
      <c r="A563" s="34" t="n"/>
      <c r="B563" s="34" t="n"/>
      <c r="C563" s="34" t="n"/>
      <c r="K563" s="37" t="n"/>
      <c r="L563" s="37" t="n"/>
    </row>
    <row r="564">
      <c r="A564" s="34" t="n"/>
      <c r="B564" s="34" t="n"/>
      <c r="C564" s="34" t="n"/>
      <c r="K564" s="37" t="n"/>
      <c r="L564" s="37" t="n"/>
    </row>
    <row r="565">
      <c r="A565" s="34" t="n"/>
      <c r="B565" s="34" t="n"/>
      <c r="C565" s="34" t="n"/>
      <c r="K565" s="37" t="n"/>
      <c r="L565" s="37" t="n"/>
    </row>
    <row r="566">
      <c r="A566" s="34" t="n"/>
      <c r="B566" s="34" t="n"/>
      <c r="C566" s="34" t="n"/>
      <c r="K566" s="37" t="n"/>
      <c r="L566" s="37" t="n"/>
    </row>
    <row r="567">
      <c r="A567" s="34" t="n"/>
      <c r="B567" s="34" t="n"/>
      <c r="C567" s="34" t="n"/>
      <c r="K567" s="37" t="n"/>
      <c r="L567" s="37" t="n"/>
    </row>
    <row r="568">
      <c r="A568" s="34" t="n"/>
      <c r="B568" s="34" t="n"/>
      <c r="C568" s="34" t="n"/>
      <c r="K568" s="37" t="n"/>
      <c r="L568" s="37" t="n"/>
    </row>
    <row r="569">
      <c r="A569" s="34" t="n"/>
      <c r="B569" s="34" t="n"/>
      <c r="C569" s="34" t="n"/>
      <c r="K569" s="37" t="n"/>
      <c r="L569" s="37" t="n"/>
    </row>
    <row r="570">
      <c r="A570" s="34" t="n"/>
      <c r="B570" s="34" t="n"/>
      <c r="C570" s="34" t="n"/>
      <c r="K570" s="37" t="n"/>
      <c r="L570" s="37" t="n"/>
    </row>
    <row r="571">
      <c r="A571" s="34" t="n"/>
      <c r="B571" s="34" t="n"/>
      <c r="C571" s="34" t="n"/>
      <c r="K571" s="37" t="n"/>
      <c r="L571" s="37" t="n"/>
    </row>
    <row r="572">
      <c r="A572" s="34" t="n"/>
      <c r="B572" s="34" t="n"/>
      <c r="C572" s="34" t="n"/>
      <c r="K572" s="37" t="n"/>
      <c r="L572" s="37" t="n"/>
    </row>
    <row r="573">
      <c r="A573" s="34" t="n"/>
      <c r="B573" s="34" t="n"/>
      <c r="C573" s="34" t="n"/>
      <c r="K573" s="37" t="n"/>
      <c r="L573" s="37" t="n"/>
    </row>
    <row r="574">
      <c r="A574" s="34" t="n"/>
      <c r="B574" s="34" t="n"/>
      <c r="C574" s="34" t="n"/>
      <c r="K574" s="37" t="n"/>
      <c r="L574" s="37" t="n"/>
    </row>
    <row r="575">
      <c r="A575" s="34" t="n"/>
      <c r="B575" s="34" t="n"/>
      <c r="C575" s="34" t="n"/>
      <c r="K575" s="37" t="n"/>
      <c r="L575" s="37" t="n"/>
    </row>
    <row r="576">
      <c r="A576" s="34" t="n"/>
      <c r="B576" s="34" t="n"/>
      <c r="C576" s="34" t="n"/>
      <c r="K576" s="37" t="n"/>
      <c r="L576" s="37" t="n"/>
    </row>
    <row r="577">
      <c r="A577" s="34" t="n"/>
      <c r="B577" s="34" t="n"/>
      <c r="C577" s="34" t="n"/>
      <c r="K577" s="37" t="n"/>
      <c r="L577" s="37" t="n"/>
    </row>
    <row r="578">
      <c r="A578" s="34" t="n"/>
      <c r="B578" s="34" t="n"/>
      <c r="C578" s="34" t="n"/>
      <c r="K578" s="37" t="n"/>
      <c r="L578" s="37" t="n"/>
    </row>
    <row r="579">
      <c r="A579" s="34" t="n"/>
      <c r="B579" s="34" t="n"/>
      <c r="C579" s="34" t="n"/>
      <c r="K579" s="37" t="n"/>
      <c r="L579" s="37" t="n"/>
    </row>
    <row r="580">
      <c r="A580" s="34" t="n"/>
      <c r="B580" s="34" t="n"/>
      <c r="C580" s="34" t="n"/>
      <c r="K580" s="37" t="n"/>
      <c r="L580" s="37" t="n"/>
    </row>
    <row r="581">
      <c r="A581" s="34" t="n"/>
      <c r="B581" s="34" t="n"/>
      <c r="C581" s="34" t="n"/>
      <c r="K581" s="37" t="n"/>
      <c r="L581" s="37" t="n"/>
    </row>
    <row r="582">
      <c r="A582" s="34" t="n"/>
      <c r="B582" s="34" t="n"/>
      <c r="C582" s="34" t="n"/>
      <c r="K582" s="37" t="n"/>
      <c r="L582" s="37" t="n"/>
    </row>
    <row r="583">
      <c r="A583" s="34" t="n"/>
      <c r="B583" s="34" t="n"/>
      <c r="C583" s="34" t="n"/>
      <c r="K583" s="37" t="n"/>
      <c r="L583" s="37" t="n"/>
    </row>
    <row r="584">
      <c r="A584" s="34" t="n"/>
      <c r="B584" s="34" t="n"/>
      <c r="C584" s="34" t="n"/>
      <c r="K584" s="37" t="n"/>
      <c r="L584" s="37" t="n"/>
    </row>
    <row r="585">
      <c r="A585" s="34" t="n"/>
      <c r="B585" s="34" t="n"/>
      <c r="C585" s="34" t="n"/>
      <c r="K585" s="37" t="n"/>
      <c r="L585" s="37" t="n"/>
    </row>
    <row r="586">
      <c r="A586" s="34" t="n"/>
      <c r="B586" s="34" t="n"/>
      <c r="C586" s="34" t="n"/>
      <c r="K586" s="37" t="n"/>
      <c r="L586" s="37" t="n"/>
    </row>
    <row r="587">
      <c r="A587" s="34" t="n"/>
      <c r="B587" s="34" t="n"/>
      <c r="C587" s="34" t="n"/>
      <c r="K587" s="37" t="n"/>
      <c r="L587" s="37" t="n"/>
    </row>
    <row r="588">
      <c r="A588" s="34" t="n"/>
      <c r="B588" s="34" t="n"/>
      <c r="C588" s="34" t="n"/>
      <c r="K588" s="37" t="n"/>
      <c r="L588" s="37" t="n"/>
    </row>
    <row r="589">
      <c r="A589" s="34" t="n"/>
      <c r="B589" s="34" t="n"/>
      <c r="C589" s="34" t="n"/>
      <c r="K589" s="37" t="n"/>
      <c r="L589" s="37" t="n"/>
    </row>
    <row r="590">
      <c r="A590" s="34" t="n"/>
      <c r="B590" s="34" t="n"/>
      <c r="C590" s="34" t="n"/>
      <c r="K590" s="37" t="n"/>
      <c r="L590" s="37" t="n"/>
    </row>
    <row r="591">
      <c r="A591" s="34" t="n"/>
      <c r="B591" s="34" t="n"/>
      <c r="C591" s="34" t="n"/>
      <c r="K591" s="37" t="n"/>
      <c r="L591" s="37" t="n"/>
    </row>
    <row r="592">
      <c r="A592" s="34" t="n"/>
      <c r="B592" s="34" t="n"/>
      <c r="C592" s="34" t="n"/>
      <c r="K592" s="37" t="n"/>
      <c r="L592" s="37" t="n"/>
    </row>
    <row r="593">
      <c r="A593" s="34" t="n"/>
      <c r="B593" s="34" t="n"/>
      <c r="C593" s="34" t="n"/>
      <c r="K593" s="37" t="n"/>
      <c r="L593" s="37" t="n"/>
    </row>
    <row r="594">
      <c r="A594" s="34" t="n"/>
      <c r="B594" s="34" t="n"/>
      <c r="C594" s="34" t="n"/>
      <c r="K594" s="37" t="n"/>
      <c r="L594" s="37" t="n"/>
    </row>
    <row r="595">
      <c r="A595" s="34" t="n"/>
      <c r="B595" s="34" t="n"/>
      <c r="C595" s="34" t="n"/>
      <c r="K595" s="37" t="n"/>
      <c r="L595" s="37" t="n"/>
    </row>
    <row r="596">
      <c r="A596" s="34" t="n"/>
      <c r="B596" s="34" t="n"/>
      <c r="C596" s="34" t="n"/>
      <c r="K596" s="37" t="n"/>
      <c r="L596" s="37" t="n"/>
    </row>
    <row r="597">
      <c r="A597" s="34" t="n"/>
      <c r="B597" s="34" t="n"/>
      <c r="C597" s="34" t="n"/>
      <c r="K597" s="37" t="n"/>
      <c r="L597" s="37" t="n"/>
    </row>
    <row r="598">
      <c r="A598" s="34" t="n"/>
      <c r="B598" s="34" t="n"/>
      <c r="C598" s="34" t="n"/>
      <c r="K598" s="37" t="n"/>
      <c r="L598" s="37" t="n"/>
    </row>
    <row r="599">
      <c r="A599" s="34" t="n"/>
      <c r="B599" s="34" t="n"/>
      <c r="C599" s="34" t="n"/>
      <c r="K599" s="37" t="n"/>
      <c r="L599" s="37" t="n"/>
    </row>
    <row r="600">
      <c r="A600" s="34" t="n"/>
      <c r="B600" s="34" t="n"/>
      <c r="C600" s="34" t="n"/>
      <c r="K600" s="37" t="n"/>
      <c r="L600" s="37" t="n"/>
    </row>
    <row r="601">
      <c r="A601" s="34" t="n"/>
      <c r="B601" s="34" t="n"/>
      <c r="C601" s="34" t="n"/>
      <c r="K601" s="37" t="n"/>
      <c r="L601" s="37" t="n"/>
    </row>
    <row r="602">
      <c r="A602" s="34" t="n"/>
      <c r="B602" s="34" t="n"/>
      <c r="C602" s="34" t="n"/>
      <c r="K602" s="37" t="n"/>
      <c r="L602" s="37" t="n"/>
    </row>
    <row r="603">
      <c r="A603" s="34" t="n"/>
      <c r="B603" s="34" t="n"/>
      <c r="C603" s="34" t="n"/>
      <c r="K603" s="37" t="n"/>
      <c r="L603" s="37" t="n"/>
    </row>
    <row r="604">
      <c r="A604" s="34" t="n"/>
      <c r="B604" s="34" t="n"/>
      <c r="C604" s="34" t="n"/>
      <c r="K604" s="37" t="n"/>
      <c r="L604" s="37" t="n"/>
    </row>
    <row r="605">
      <c r="A605" s="34" t="n"/>
      <c r="B605" s="34" t="n"/>
      <c r="C605" s="34" t="n"/>
      <c r="K605" s="37" t="n"/>
      <c r="L605" s="37" t="n"/>
    </row>
    <row r="606">
      <c r="A606" s="34" t="n"/>
      <c r="B606" s="34" t="n"/>
      <c r="C606" s="34" t="n"/>
      <c r="K606" s="37" t="n"/>
      <c r="L606" s="37" t="n"/>
    </row>
    <row r="607">
      <c r="A607" s="34" t="n"/>
      <c r="B607" s="34" t="n"/>
      <c r="C607" s="34" t="n"/>
      <c r="K607" s="37" t="n"/>
      <c r="L607" s="37" t="n"/>
    </row>
    <row r="608">
      <c r="A608" s="34" t="n"/>
      <c r="B608" s="34" t="n"/>
      <c r="C608" s="34" t="n"/>
      <c r="K608" s="37" t="n"/>
      <c r="L608" s="37" t="n"/>
    </row>
    <row r="609">
      <c r="A609" s="34" t="n"/>
      <c r="B609" s="34" t="n"/>
      <c r="C609" s="34" t="n"/>
      <c r="K609" s="37" t="n"/>
      <c r="L609" s="37" t="n"/>
    </row>
    <row r="610">
      <c r="A610" s="34" t="n"/>
      <c r="B610" s="34" t="n"/>
      <c r="C610" s="34" t="n"/>
      <c r="K610" s="37" t="n"/>
      <c r="L610" s="37" t="n"/>
    </row>
    <row r="611">
      <c r="A611" s="34" t="n"/>
      <c r="B611" s="34" t="n"/>
      <c r="C611" s="34" t="n"/>
      <c r="K611" s="37" t="n"/>
      <c r="L611" s="37" t="n"/>
    </row>
    <row r="612">
      <c r="A612" s="34" t="n"/>
      <c r="B612" s="34" t="n"/>
      <c r="C612" s="34" t="n"/>
      <c r="K612" s="37" t="n"/>
      <c r="L612" s="37" t="n"/>
    </row>
    <row r="613">
      <c r="A613" s="34" t="n"/>
      <c r="B613" s="34" t="n"/>
      <c r="C613" s="34" t="n"/>
      <c r="K613" s="37" t="n"/>
      <c r="L613" s="37" t="n"/>
    </row>
    <row r="614">
      <c r="A614" s="34" t="n"/>
      <c r="B614" s="34" t="n"/>
      <c r="C614" s="34" t="n"/>
      <c r="K614" s="37" t="n"/>
      <c r="L614" s="37" t="n"/>
    </row>
    <row r="615">
      <c r="A615" s="34" t="n"/>
      <c r="B615" s="34" t="n"/>
      <c r="C615" s="34" t="n"/>
      <c r="K615" s="37" t="n"/>
      <c r="L615" s="37" t="n"/>
    </row>
    <row r="616">
      <c r="A616" s="34" t="n"/>
      <c r="B616" s="34" t="n"/>
      <c r="C616" s="34" t="n"/>
      <c r="K616" s="37" t="n"/>
      <c r="L616" s="37" t="n"/>
    </row>
    <row r="617">
      <c r="A617" s="34" t="n"/>
      <c r="B617" s="34" t="n"/>
      <c r="C617" s="34" t="n"/>
      <c r="K617" s="37" t="n"/>
      <c r="L617" s="37" t="n"/>
    </row>
    <row r="618">
      <c r="A618" s="34" t="n"/>
      <c r="B618" s="34" t="n"/>
      <c r="C618" s="34" t="n"/>
      <c r="K618" s="37" t="n"/>
      <c r="L618" s="37" t="n"/>
    </row>
    <row r="619">
      <c r="A619" s="34" t="n"/>
      <c r="B619" s="34" t="n"/>
      <c r="C619" s="34" t="n"/>
      <c r="K619" s="37" t="n"/>
      <c r="L619" s="37" t="n"/>
    </row>
    <row r="620">
      <c r="A620" s="34" t="n"/>
      <c r="B620" s="34" t="n"/>
      <c r="C620" s="34" t="n"/>
      <c r="K620" s="37" t="n"/>
      <c r="L620" s="37" t="n"/>
    </row>
    <row r="621">
      <c r="A621" s="34" t="n"/>
      <c r="B621" s="34" t="n"/>
      <c r="C621" s="34" t="n"/>
      <c r="K621" s="37" t="n"/>
      <c r="L621" s="37" t="n"/>
    </row>
    <row r="622">
      <c r="A622" s="34" t="n"/>
      <c r="B622" s="34" t="n"/>
      <c r="C622" s="34" t="n"/>
      <c r="K622" s="37" t="n"/>
      <c r="L622" s="37" t="n"/>
    </row>
    <row r="623">
      <c r="A623" s="34" t="n"/>
      <c r="B623" s="34" t="n"/>
      <c r="C623" s="34" t="n"/>
      <c r="K623" s="37" t="n"/>
      <c r="L623" s="37" t="n"/>
    </row>
    <row r="624">
      <c r="A624" s="34" t="n"/>
      <c r="B624" s="34" t="n"/>
      <c r="C624" s="34" t="n"/>
      <c r="K624" s="37" t="n"/>
      <c r="L624" s="37" t="n"/>
    </row>
    <row r="625">
      <c r="A625" s="34" t="n"/>
      <c r="B625" s="34" t="n"/>
      <c r="C625" s="34" t="n"/>
      <c r="K625" s="37" t="n"/>
      <c r="L625" s="37" t="n"/>
    </row>
    <row r="626">
      <c r="A626" s="34" t="n"/>
      <c r="B626" s="34" t="n"/>
      <c r="C626" s="34" t="n"/>
      <c r="K626" s="37" t="n"/>
      <c r="L626" s="37" t="n"/>
    </row>
    <row r="627">
      <c r="A627" s="34" t="n"/>
      <c r="B627" s="34" t="n"/>
      <c r="C627" s="34" t="n"/>
      <c r="K627" s="37" t="n"/>
      <c r="L627" s="37" t="n"/>
    </row>
    <row r="628">
      <c r="A628" s="34" t="n"/>
      <c r="B628" s="34" t="n"/>
      <c r="C628" s="34" t="n"/>
      <c r="K628" s="37" t="n"/>
      <c r="L628" s="37" t="n"/>
    </row>
    <row r="629">
      <c r="A629" s="34" t="n"/>
      <c r="B629" s="34" t="n"/>
      <c r="C629" s="34" t="n"/>
      <c r="K629" s="37" t="n"/>
      <c r="L629" s="37" t="n"/>
    </row>
    <row r="630">
      <c r="A630" s="34" t="n"/>
      <c r="B630" s="34" t="n"/>
      <c r="C630" s="34" t="n"/>
      <c r="K630" s="37" t="n"/>
      <c r="L630" s="37" t="n"/>
    </row>
    <row r="631">
      <c r="A631" s="34" t="n"/>
      <c r="B631" s="34" t="n"/>
      <c r="C631" s="34" t="n"/>
      <c r="K631" s="37" t="n"/>
      <c r="L631" s="37" t="n"/>
    </row>
    <row r="632">
      <c r="A632" s="34" t="n"/>
      <c r="B632" s="34" t="n"/>
      <c r="C632" s="34" t="n"/>
      <c r="K632" s="37" t="n"/>
      <c r="L632" s="37" t="n"/>
    </row>
    <row r="633">
      <c r="A633" s="34" t="n"/>
      <c r="B633" s="34" t="n"/>
      <c r="C633" s="34" t="n"/>
      <c r="K633" s="37" t="n"/>
      <c r="L633" s="37" t="n"/>
    </row>
    <row r="634">
      <c r="A634" s="34" t="n"/>
      <c r="B634" s="34" t="n"/>
      <c r="C634" s="34" t="n"/>
      <c r="K634" s="37" t="n"/>
      <c r="L634" s="37" t="n"/>
    </row>
    <row r="635">
      <c r="A635" s="34" t="n"/>
      <c r="B635" s="34" t="n"/>
      <c r="C635" s="34" t="n"/>
      <c r="K635" s="37" t="n"/>
      <c r="L635" s="37" t="n"/>
    </row>
    <row r="636">
      <c r="A636" s="34" t="n"/>
      <c r="B636" s="34" t="n"/>
      <c r="C636" s="34" t="n"/>
      <c r="K636" s="37" t="n"/>
      <c r="L636" s="37" t="n"/>
    </row>
    <row r="637">
      <c r="A637" s="34" t="n"/>
      <c r="B637" s="34" t="n"/>
      <c r="C637" s="34" t="n"/>
      <c r="K637" s="37" t="n"/>
      <c r="L637" s="37" t="n"/>
    </row>
    <row r="638">
      <c r="A638" s="34" t="n"/>
      <c r="B638" s="34" t="n"/>
      <c r="C638" s="34" t="n"/>
      <c r="K638" s="37" t="n"/>
      <c r="L638" s="37" t="n"/>
    </row>
    <row r="639">
      <c r="A639" s="34" t="n"/>
      <c r="B639" s="34" t="n"/>
      <c r="C639" s="34" t="n"/>
      <c r="K639" s="37" t="n"/>
      <c r="L639" s="37" t="n"/>
    </row>
    <row r="640">
      <c r="A640" s="34" t="n"/>
      <c r="B640" s="34" t="n"/>
      <c r="C640" s="34" t="n"/>
      <c r="K640" s="37" t="n"/>
      <c r="L640" s="37" t="n"/>
    </row>
    <row r="641">
      <c r="A641" s="34" t="n"/>
      <c r="B641" s="34" t="n"/>
      <c r="C641" s="34" t="n"/>
      <c r="K641" s="37" t="n"/>
      <c r="L641" s="37" t="n"/>
    </row>
    <row r="642">
      <c r="A642" s="34" t="n"/>
      <c r="B642" s="34" t="n"/>
      <c r="C642" s="34" t="n"/>
      <c r="K642" s="37" t="n"/>
      <c r="L642" s="37" t="n"/>
    </row>
    <row r="643">
      <c r="A643" s="34" t="n"/>
      <c r="B643" s="34" t="n"/>
      <c r="C643" s="34" t="n"/>
      <c r="K643" s="37" t="n"/>
      <c r="L643" s="37" t="n"/>
    </row>
    <row r="644">
      <c r="A644" s="34" t="n"/>
      <c r="B644" s="34" t="n"/>
      <c r="C644" s="34" t="n"/>
      <c r="K644" s="37" t="n"/>
      <c r="L644" s="37" t="n"/>
    </row>
    <row r="645">
      <c r="A645" s="34" t="n"/>
      <c r="B645" s="34" t="n"/>
      <c r="C645" s="34" t="n"/>
      <c r="K645" s="37" t="n"/>
      <c r="L645" s="37" t="n"/>
    </row>
    <row r="646">
      <c r="A646" s="34" t="n"/>
      <c r="B646" s="34" t="n"/>
      <c r="C646" s="34" t="n"/>
      <c r="K646" s="37" t="n"/>
      <c r="L646" s="37" t="n"/>
    </row>
    <row r="647">
      <c r="A647" s="34" t="n"/>
      <c r="B647" s="34" t="n"/>
      <c r="C647" s="34" t="n"/>
      <c r="K647" s="37" t="n"/>
      <c r="L647" s="37" t="n"/>
    </row>
    <row r="648">
      <c r="A648" s="34" t="n"/>
      <c r="B648" s="34" t="n"/>
      <c r="C648" s="34" t="n"/>
      <c r="K648" s="37" t="n"/>
      <c r="L648" s="37" t="n"/>
    </row>
    <row r="649">
      <c r="A649" s="34" t="n"/>
      <c r="B649" s="34" t="n"/>
      <c r="C649" s="34" t="n"/>
      <c r="K649" s="37" t="n"/>
      <c r="L649" s="37" t="n"/>
    </row>
    <row r="650">
      <c r="A650" s="34" t="n"/>
      <c r="B650" s="34" t="n"/>
      <c r="C650" s="34" t="n"/>
      <c r="K650" s="37" t="n"/>
      <c r="L650" s="37" t="n"/>
    </row>
    <row r="651">
      <c r="A651" s="34" t="n"/>
      <c r="B651" s="34" t="n"/>
      <c r="C651" s="34" t="n"/>
      <c r="K651" s="37" t="n"/>
      <c r="L651" s="37" t="n"/>
    </row>
    <row r="652">
      <c r="A652" s="34" t="n"/>
      <c r="B652" s="34" t="n"/>
      <c r="C652" s="34" t="n"/>
      <c r="K652" s="37" t="n"/>
      <c r="L652" s="37" t="n"/>
    </row>
    <row r="653">
      <c r="A653" s="34" t="n"/>
      <c r="B653" s="34" t="n"/>
      <c r="C653" s="34" t="n"/>
      <c r="K653" s="37" t="n"/>
      <c r="L653" s="37" t="n"/>
    </row>
    <row r="654">
      <c r="A654" s="34" t="n"/>
      <c r="B654" s="34" t="n"/>
      <c r="C654" s="34" t="n"/>
      <c r="K654" s="37" t="n"/>
      <c r="L654" s="37" t="n"/>
    </row>
    <row r="655">
      <c r="A655" s="34" t="n"/>
      <c r="B655" s="34" t="n"/>
      <c r="C655" s="34" t="n"/>
      <c r="K655" s="37" t="n"/>
      <c r="L655" s="37" t="n"/>
    </row>
    <row r="656">
      <c r="A656" s="34" t="n"/>
      <c r="B656" s="34" t="n"/>
      <c r="C656" s="34" t="n"/>
      <c r="K656" s="37" t="n"/>
      <c r="L656" s="37" t="n"/>
    </row>
    <row r="657">
      <c r="A657" s="34" t="n"/>
      <c r="B657" s="34" t="n"/>
      <c r="C657" s="34" t="n"/>
      <c r="K657" s="37" t="n"/>
      <c r="L657" s="37" t="n"/>
    </row>
    <row r="658">
      <c r="A658" s="34" t="n"/>
      <c r="B658" s="34" t="n"/>
      <c r="C658" s="34" t="n"/>
      <c r="K658" s="37" t="n"/>
      <c r="L658" s="37" t="n"/>
    </row>
    <row r="659">
      <c r="A659" s="34" t="n"/>
      <c r="B659" s="34" t="n"/>
      <c r="C659" s="34" t="n"/>
      <c r="K659" s="37" t="n"/>
      <c r="L659" s="37" t="n"/>
    </row>
    <row r="660">
      <c r="A660" s="34" t="n"/>
      <c r="B660" s="34" t="n"/>
      <c r="C660" s="34" t="n"/>
      <c r="K660" s="37" t="n"/>
      <c r="L660" s="37" t="n"/>
    </row>
    <row r="661">
      <c r="A661" s="34" t="n"/>
      <c r="B661" s="34" t="n"/>
      <c r="C661" s="34" t="n"/>
      <c r="K661" s="37" t="n"/>
      <c r="L661" s="37" t="n"/>
    </row>
    <row r="662">
      <c r="A662" s="34" t="n"/>
      <c r="B662" s="34" t="n"/>
      <c r="C662" s="34" t="n"/>
      <c r="K662" s="37" t="n"/>
      <c r="L662" s="37" t="n"/>
    </row>
    <row r="663">
      <c r="A663" s="34" t="n"/>
      <c r="B663" s="34" t="n"/>
      <c r="C663" s="34" t="n"/>
      <c r="K663" s="37" t="n"/>
      <c r="L663" s="37" t="n"/>
    </row>
    <row r="664">
      <c r="A664" s="34" t="n"/>
      <c r="B664" s="34" t="n"/>
      <c r="C664" s="34" t="n"/>
      <c r="K664" s="37" t="n"/>
      <c r="L664" s="37" t="n"/>
    </row>
    <row r="665">
      <c r="A665" s="34" t="n"/>
      <c r="B665" s="34" t="n"/>
      <c r="C665" s="34" t="n"/>
      <c r="K665" s="37" t="n"/>
      <c r="L665" s="37" t="n"/>
    </row>
    <row r="666">
      <c r="A666" s="34" t="n"/>
      <c r="B666" s="34" t="n"/>
      <c r="C666" s="34" t="n"/>
      <c r="K666" s="37" t="n"/>
      <c r="L666" s="37" t="n"/>
    </row>
    <row r="667">
      <c r="A667" s="34" t="n"/>
      <c r="B667" s="34" t="n"/>
      <c r="C667" s="34" t="n"/>
      <c r="K667" s="37" t="n"/>
      <c r="L667" s="37" t="n"/>
    </row>
    <row r="668">
      <c r="A668" s="34" t="n"/>
      <c r="B668" s="34" t="n"/>
      <c r="C668" s="34" t="n"/>
      <c r="K668" s="37" t="n"/>
      <c r="L668" s="37" t="n"/>
    </row>
    <row r="669">
      <c r="A669" s="34" t="n"/>
      <c r="B669" s="34" t="n"/>
      <c r="C669" s="34" t="n"/>
      <c r="K669" s="37" t="n"/>
      <c r="L669" s="37" t="n"/>
    </row>
    <row r="670">
      <c r="A670" s="34" t="n"/>
      <c r="B670" s="34" t="n"/>
      <c r="C670" s="34" t="n"/>
      <c r="K670" s="37" t="n"/>
      <c r="L670" s="37" t="n"/>
    </row>
    <row r="671">
      <c r="A671" s="34" t="n"/>
      <c r="B671" s="34" t="n"/>
      <c r="C671" s="34" t="n"/>
      <c r="K671" s="37" t="n"/>
      <c r="L671" s="37" t="n"/>
    </row>
    <row r="672">
      <c r="A672" s="34" t="n"/>
      <c r="B672" s="34" t="n"/>
      <c r="C672" s="34" t="n"/>
      <c r="K672" s="37" t="n"/>
      <c r="L672" s="37" t="n"/>
    </row>
    <row r="673">
      <c r="A673" s="34" t="n"/>
      <c r="B673" s="34" t="n"/>
      <c r="C673" s="34" t="n"/>
      <c r="K673" s="37" t="n"/>
      <c r="L673" s="37" t="n"/>
    </row>
    <row r="674">
      <c r="A674" s="34" t="n"/>
      <c r="B674" s="34" t="n"/>
      <c r="C674" s="34" t="n"/>
      <c r="K674" s="37" t="n"/>
      <c r="L674" s="37" t="n"/>
    </row>
    <row r="675">
      <c r="A675" s="34" t="n"/>
      <c r="B675" s="34" t="n"/>
      <c r="C675" s="34" t="n"/>
      <c r="K675" s="37" t="n"/>
      <c r="L675" s="37" t="n"/>
    </row>
    <row r="676">
      <c r="A676" s="34" t="n"/>
      <c r="B676" s="34" t="n"/>
      <c r="C676" s="34" t="n"/>
      <c r="K676" s="37" t="n"/>
      <c r="L676" s="37" t="n"/>
    </row>
    <row r="677">
      <c r="A677" s="34" t="n"/>
      <c r="B677" s="34" t="n"/>
      <c r="C677" s="34" t="n"/>
      <c r="K677" s="37" t="n"/>
      <c r="L677" s="37" t="n"/>
    </row>
    <row r="678">
      <c r="A678" s="34" t="n"/>
      <c r="B678" s="34" t="n"/>
      <c r="C678" s="34" t="n"/>
      <c r="K678" s="37" t="n"/>
      <c r="L678" s="37" t="n"/>
    </row>
    <row r="679">
      <c r="A679" s="34" t="n"/>
      <c r="B679" s="34" t="n"/>
      <c r="C679" s="34" t="n"/>
      <c r="K679" s="37" t="n"/>
      <c r="L679" s="37" t="n"/>
    </row>
    <row r="680">
      <c r="A680" s="34" t="n"/>
      <c r="B680" s="34" t="n"/>
      <c r="C680" s="34" t="n"/>
      <c r="K680" s="37" t="n"/>
      <c r="L680" s="37" t="n"/>
    </row>
    <row r="681">
      <c r="A681" s="34" t="n"/>
      <c r="B681" s="34" t="n"/>
      <c r="C681" s="34" t="n"/>
      <c r="K681" s="37" t="n"/>
      <c r="L681" s="37" t="n"/>
    </row>
    <row r="682">
      <c r="A682" s="34" t="n"/>
      <c r="B682" s="34" t="n"/>
      <c r="C682" s="34" t="n"/>
      <c r="K682" s="37" t="n"/>
      <c r="L682" s="37" t="n"/>
    </row>
    <row r="683">
      <c r="A683" s="34" t="n"/>
      <c r="B683" s="34" t="n"/>
      <c r="C683" s="34" t="n"/>
      <c r="K683" s="37" t="n"/>
      <c r="L683" s="37" t="n"/>
    </row>
    <row r="684">
      <c r="A684" s="34" t="n"/>
      <c r="B684" s="34" t="n"/>
      <c r="C684" s="34" t="n"/>
      <c r="K684" s="37" t="n"/>
      <c r="L684" s="37" t="n"/>
    </row>
    <row r="685">
      <c r="A685" s="34" t="n"/>
      <c r="B685" s="34" t="n"/>
      <c r="C685" s="34" t="n"/>
      <c r="K685" s="37" t="n"/>
      <c r="L685" s="37" t="n"/>
    </row>
    <row r="686">
      <c r="A686" s="34" t="n"/>
      <c r="B686" s="34" t="n"/>
      <c r="C686" s="34" t="n"/>
      <c r="K686" s="37" t="n"/>
      <c r="L686" s="37" t="n"/>
    </row>
    <row r="687">
      <c r="A687" s="34" t="n"/>
      <c r="B687" s="34" t="n"/>
      <c r="C687" s="34" t="n"/>
      <c r="K687" s="37" t="n"/>
      <c r="L687" s="37" t="n"/>
    </row>
    <row r="688">
      <c r="A688" s="34" t="n"/>
      <c r="B688" s="34" t="n"/>
      <c r="C688" s="34" t="n"/>
      <c r="K688" s="37" t="n"/>
      <c r="L688" s="37" t="n"/>
    </row>
    <row r="689">
      <c r="A689" s="34" t="n"/>
      <c r="B689" s="34" t="n"/>
      <c r="C689" s="34" t="n"/>
      <c r="K689" s="37" t="n"/>
      <c r="L689" s="37" t="n"/>
    </row>
    <row r="690">
      <c r="A690" s="34" t="n"/>
      <c r="B690" s="34" t="n"/>
      <c r="C690" s="34" t="n"/>
      <c r="K690" s="37" t="n"/>
      <c r="L690" s="37" t="n"/>
    </row>
    <row r="691">
      <c r="A691" s="34" t="n"/>
      <c r="B691" s="34" t="n"/>
      <c r="C691" s="34" t="n"/>
      <c r="K691" s="37" t="n"/>
      <c r="L691" s="37" t="n"/>
    </row>
    <row r="692">
      <c r="A692" s="34" t="n"/>
      <c r="B692" s="34" t="n"/>
      <c r="C692" s="34" t="n"/>
      <c r="K692" s="37" t="n"/>
      <c r="L692" s="37" t="n"/>
    </row>
    <row r="693">
      <c r="A693" s="34" t="n"/>
      <c r="B693" s="34" t="n"/>
      <c r="C693" s="34" t="n"/>
      <c r="K693" s="37" t="n"/>
      <c r="L693" s="37" t="n"/>
    </row>
    <row r="694">
      <c r="A694" s="34" t="n"/>
      <c r="B694" s="34" t="n"/>
      <c r="C694" s="34" t="n"/>
      <c r="K694" s="37" t="n"/>
      <c r="L694" s="37" t="n"/>
    </row>
    <row r="695">
      <c r="A695" s="34" t="n"/>
      <c r="B695" s="34" t="n"/>
      <c r="C695" s="34" t="n"/>
      <c r="K695" s="37" t="n"/>
      <c r="L695" s="37" t="n"/>
    </row>
    <row r="696">
      <c r="A696" s="34" t="n"/>
      <c r="B696" s="34" t="n"/>
      <c r="C696" s="34" t="n"/>
      <c r="K696" s="37" t="n"/>
      <c r="L696" s="37" t="n"/>
    </row>
    <row r="697">
      <c r="A697" s="34" t="n"/>
      <c r="B697" s="34" t="n"/>
      <c r="C697" s="34" t="n"/>
      <c r="K697" s="37" t="n"/>
      <c r="L697" s="37" t="n"/>
    </row>
    <row r="698">
      <c r="A698" s="34" t="n"/>
      <c r="B698" s="34" t="n"/>
      <c r="C698" s="34" t="n"/>
      <c r="K698" s="37" t="n"/>
      <c r="L698" s="37" t="n"/>
    </row>
    <row r="699">
      <c r="A699" s="34" t="n"/>
      <c r="B699" s="34" t="n"/>
      <c r="C699" s="34" t="n"/>
      <c r="K699" s="37" t="n"/>
      <c r="L699" s="37" t="n"/>
    </row>
    <row r="700">
      <c r="A700" s="34" t="n"/>
      <c r="B700" s="34" t="n"/>
      <c r="C700" s="34" t="n"/>
      <c r="K700" s="37" t="n"/>
      <c r="L700" s="37" t="n"/>
    </row>
    <row r="701">
      <c r="A701" s="34" t="n"/>
      <c r="B701" s="34" t="n"/>
      <c r="C701" s="34" t="n"/>
      <c r="K701" s="37" t="n"/>
      <c r="L701" s="37" t="n"/>
    </row>
    <row r="702">
      <c r="A702" s="34" t="n"/>
      <c r="B702" s="34" t="n"/>
      <c r="C702" s="34" t="n"/>
      <c r="K702" s="37" t="n"/>
      <c r="L702" s="37" t="n"/>
    </row>
    <row r="703">
      <c r="A703" s="34" t="n"/>
      <c r="B703" s="34" t="n"/>
      <c r="C703" s="34" t="n"/>
      <c r="K703" s="37" t="n"/>
      <c r="L703" s="37" t="n"/>
    </row>
    <row r="704">
      <c r="A704" s="34" t="n"/>
      <c r="B704" s="34" t="n"/>
      <c r="C704" s="34" t="n"/>
      <c r="K704" s="37" t="n"/>
      <c r="L704" s="37" t="n"/>
    </row>
    <row r="705">
      <c r="A705" s="34" t="n"/>
      <c r="B705" s="34" t="n"/>
      <c r="C705" s="34" t="n"/>
      <c r="K705" s="37" t="n"/>
      <c r="L705" s="37" t="n"/>
    </row>
    <row r="706">
      <c r="A706" s="34" t="n"/>
      <c r="B706" s="34" t="n"/>
      <c r="C706" s="34" t="n"/>
      <c r="K706" s="37" t="n"/>
      <c r="L706" s="37" t="n"/>
    </row>
    <row r="707">
      <c r="A707" s="34" t="n"/>
      <c r="B707" s="34" t="n"/>
      <c r="C707" s="34" t="n"/>
      <c r="K707" s="37" t="n"/>
      <c r="L707" s="37" t="n"/>
    </row>
    <row r="708">
      <c r="A708" s="34" t="n"/>
      <c r="B708" s="34" t="n"/>
      <c r="C708" s="34" t="n"/>
      <c r="K708" s="37" t="n"/>
      <c r="L708" s="37" t="n"/>
    </row>
    <row r="709">
      <c r="A709" s="34" t="n"/>
      <c r="B709" s="34" t="n"/>
      <c r="C709" s="34" t="n"/>
      <c r="K709" s="37" t="n"/>
      <c r="L709" s="37" t="n"/>
    </row>
    <row r="710">
      <c r="A710" s="34" t="n"/>
      <c r="B710" s="34" t="n"/>
      <c r="C710" s="34" t="n"/>
      <c r="K710" s="37" t="n"/>
      <c r="L710" s="37" t="n"/>
    </row>
    <row r="711">
      <c r="A711" s="34" t="n"/>
      <c r="B711" s="34" t="n"/>
      <c r="C711" s="34" t="n"/>
      <c r="K711" s="37" t="n"/>
      <c r="L711" s="37" t="n"/>
    </row>
    <row r="712">
      <c r="A712" s="34" t="n"/>
      <c r="B712" s="34" t="n"/>
      <c r="C712" s="34" t="n"/>
      <c r="K712" s="37" t="n"/>
      <c r="L712" s="37" t="n"/>
    </row>
    <row r="713">
      <c r="A713" s="34" t="n"/>
      <c r="B713" s="34" t="n"/>
      <c r="C713" s="34" t="n"/>
      <c r="K713" s="37" t="n"/>
      <c r="L713" s="37" t="n"/>
    </row>
    <row r="714">
      <c r="A714" s="34" t="n"/>
      <c r="B714" s="34" t="n"/>
      <c r="C714" s="34" t="n"/>
      <c r="K714" s="37" t="n"/>
      <c r="L714" s="37" t="n"/>
    </row>
    <row r="715">
      <c r="A715" s="34" t="n"/>
      <c r="B715" s="34" t="n"/>
      <c r="C715" s="34" t="n"/>
      <c r="K715" s="37" t="n"/>
      <c r="L715" s="37" t="n"/>
    </row>
    <row r="716">
      <c r="A716" s="34" t="n"/>
      <c r="B716" s="34" t="n"/>
      <c r="C716" s="34" t="n"/>
      <c r="K716" s="37" t="n"/>
      <c r="L716" s="37" t="n"/>
    </row>
    <row r="717">
      <c r="A717" s="34" t="n"/>
      <c r="B717" s="34" t="n"/>
      <c r="C717" s="34" t="n"/>
      <c r="K717" s="37" t="n"/>
      <c r="L717" s="37" t="n"/>
    </row>
    <row r="718">
      <c r="A718" s="34" t="n"/>
      <c r="B718" s="34" t="n"/>
      <c r="C718" s="34" t="n"/>
      <c r="K718" s="37" t="n"/>
      <c r="L718" s="37" t="n"/>
    </row>
    <row r="719">
      <c r="A719" s="34" t="n"/>
      <c r="B719" s="34" t="n"/>
      <c r="C719" s="34" t="n"/>
      <c r="K719" s="37" t="n"/>
      <c r="L719" s="37" t="n"/>
    </row>
    <row r="720">
      <c r="A720" s="34" t="n"/>
      <c r="B720" s="34" t="n"/>
      <c r="C720" s="34" t="n"/>
      <c r="K720" s="37" t="n"/>
      <c r="L720" s="37" t="n"/>
    </row>
    <row r="721">
      <c r="A721" s="34" t="n"/>
      <c r="B721" s="34" t="n"/>
      <c r="C721" s="34" t="n"/>
      <c r="K721" s="37" t="n"/>
      <c r="L721" s="37" t="n"/>
    </row>
    <row r="722">
      <c r="A722" s="34" t="n"/>
      <c r="B722" s="34" t="n"/>
      <c r="C722" s="34" t="n"/>
      <c r="K722" s="37" t="n"/>
      <c r="L722" s="37" t="n"/>
    </row>
    <row r="723">
      <c r="A723" s="34" t="n"/>
      <c r="B723" s="34" t="n"/>
      <c r="C723" s="34" t="n"/>
      <c r="K723" s="37" t="n"/>
      <c r="L723" s="37" t="n"/>
    </row>
    <row r="724">
      <c r="A724" s="34" t="n"/>
      <c r="B724" s="34" t="n"/>
      <c r="C724" s="34" t="n"/>
      <c r="K724" s="37" t="n"/>
      <c r="L724" s="37" t="n"/>
    </row>
    <row r="725">
      <c r="A725" s="34" t="n"/>
      <c r="B725" s="34" t="n"/>
      <c r="C725" s="34" t="n"/>
      <c r="K725" s="37" t="n"/>
      <c r="L725" s="37" t="n"/>
    </row>
    <row r="726">
      <c r="A726" s="34" t="n"/>
      <c r="B726" s="34" t="n"/>
      <c r="C726" s="34" t="n"/>
      <c r="K726" s="37" t="n"/>
      <c r="L726" s="37" t="n"/>
    </row>
    <row r="727">
      <c r="A727" s="34" t="n"/>
      <c r="B727" s="34" t="n"/>
      <c r="C727" s="34" t="n"/>
      <c r="K727" s="37" t="n"/>
      <c r="L727" s="37" t="n"/>
    </row>
    <row r="728">
      <c r="A728" s="34" t="n"/>
      <c r="B728" s="34" t="n"/>
      <c r="C728" s="34" t="n"/>
      <c r="K728" s="37" t="n"/>
      <c r="L728" s="37" t="n"/>
    </row>
    <row r="729">
      <c r="A729" s="34" t="n"/>
      <c r="B729" s="34" t="n"/>
      <c r="C729" s="34" t="n"/>
      <c r="K729" s="37" t="n"/>
      <c r="L729" s="37" t="n"/>
    </row>
    <row r="730">
      <c r="A730" s="34" t="n"/>
      <c r="B730" s="34" t="n"/>
      <c r="C730" s="34" t="n"/>
      <c r="K730" s="37" t="n"/>
      <c r="L730" s="37" t="n"/>
    </row>
    <row r="731">
      <c r="A731" s="34" t="n"/>
      <c r="B731" s="34" t="n"/>
      <c r="C731" s="34" t="n"/>
      <c r="K731" s="37" t="n"/>
      <c r="L731" s="37" t="n"/>
    </row>
    <row r="732">
      <c r="A732" s="34" t="n"/>
      <c r="B732" s="34" t="n"/>
      <c r="C732" s="34" t="n"/>
      <c r="K732" s="37" t="n"/>
      <c r="L732" s="37" t="n"/>
    </row>
    <row r="733">
      <c r="A733" s="34" t="n"/>
      <c r="B733" s="34" t="n"/>
      <c r="C733" s="34" t="n"/>
      <c r="K733" s="37" t="n"/>
      <c r="L733" s="37" t="n"/>
    </row>
    <row r="734">
      <c r="A734" s="34" t="n"/>
      <c r="B734" s="34" t="n"/>
      <c r="C734" s="34" t="n"/>
      <c r="K734" s="37" t="n"/>
      <c r="L734" s="37" t="n"/>
    </row>
    <row r="735">
      <c r="A735" s="34" t="n"/>
      <c r="B735" s="34" t="n"/>
      <c r="C735" s="34" t="n"/>
      <c r="K735" s="37" t="n"/>
      <c r="L735" s="37" t="n"/>
    </row>
    <row r="736">
      <c r="A736" s="34" t="n"/>
      <c r="B736" s="34" t="n"/>
      <c r="C736" s="34" t="n"/>
      <c r="K736" s="37" t="n"/>
      <c r="L736" s="37" t="n"/>
    </row>
    <row r="737">
      <c r="A737" s="34" t="n"/>
      <c r="B737" s="34" t="n"/>
      <c r="C737" s="34" t="n"/>
      <c r="K737" s="37" t="n"/>
      <c r="L737" s="37" t="n"/>
    </row>
    <row r="738">
      <c r="A738" s="34" t="n"/>
      <c r="B738" s="34" t="n"/>
      <c r="C738" s="34" t="n"/>
      <c r="K738" s="37" t="n"/>
      <c r="L738" s="37" t="n"/>
    </row>
    <row r="739">
      <c r="A739" s="34" t="n"/>
      <c r="B739" s="34" t="n"/>
      <c r="C739" s="34" t="n"/>
      <c r="K739" s="37" t="n"/>
      <c r="L739" s="37" t="n"/>
    </row>
    <row r="740">
      <c r="A740" s="34" t="n"/>
      <c r="B740" s="34" t="n"/>
      <c r="C740" s="34" t="n"/>
      <c r="K740" s="37" t="n"/>
      <c r="L740" s="37" t="n"/>
    </row>
    <row r="741">
      <c r="A741" s="34" t="n"/>
      <c r="B741" s="34" t="n"/>
      <c r="C741" s="34" t="n"/>
      <c r="K741" s="37" t="n"/>
      <c r="L741" s="37" t="n"/>
    </row>
    <row r="742">
      <c r="A742" s="34" t="n"/>
      <c r="B742" s="34" t="n"/>
      <c r="C742" s="34" t="n"/>
      <c r="K742" s="37" t="n"/>
      <c r="L742" s="37" t="n"/>
    </row>
    <row r="743">
      <c r="A743" s="34" t="n"/>
      <c r="B743" s="34" t="n"/>
      <c r="C743" s="34" t="n"/>
      <c r="K743" s="37" t="n"/>
      <c r="L743" s="37" t="n"/>
    </row>
    <row r="744">
      <c r="A744" s="34" t="n"/>
      <c r="B744" s="34" t="n"/>
      <c r="C744" s="34" t="n"/>
      <c r="K744" s="37" t="n"/>
      <c r="L744" s="37" t="n"/>
    </row>
    <row r="745">
      <c r="A745" s="34" t="n"/>
      <c r="B745" s="34" t="n"/>
      <c r="C745" s="34" t="n"/>
      <c r="K745" s="37" t="n"/>
      <c r="L745" s="37" t="n"/>
    </row>
    <row r="746">
      <c r="A746" s="34" t="n"/>
      <c r="B746" s="34" t="n"/>
      <c r="C746" s="34" t="n"/>
      <c r="K746" s="37" t="n"/>
      <c r="L746" s="37" t="n"/>
    </row>
    <row r="747">
      <c r="A747" s="34" t="n"/>
      <c r="B747" s="34" t="n"/>
      <c r="C747" s="34" t="n"/>
      <c r="K747" s="37" t="n"/>
      <c r="L747" s="37" t="n"/>
    </row>
    <row r="748">
      <c r="A748" s="34" t="n"/>
      <c r="B748" s="34" t="n"/>
      <c r="C748" s="34" t="n"/>
      <c r="K748" s="37" t="n"/>
      <c r="L748" s="37" t="n"/>
    </row>
    <row r="749">
      <c r="A749" s="34" t="n"/>
      <c r="B749" s="34" t="n"/>
      <c r="C749" s="34" t="n"/>
      <c r="K749" s="37" t="n"/>
      <c r="L749" s="37" t="n"/>
    </row>
    <row r="750">
      <c r="A750" s="34" t="n"/>
      <c r="B750" s="34" t="n"/>
      <c r="C750" s="34" t="n"/>
      <c r="K750" s="37" t="n"/>
      <c r="L750" s="37" t="n"/>
    </row>
    <row r="751">
      <c r="A751" s="34" t="n"/>
      <c r="B751" s="34" t="n"/>
      <c r="C751" s="34" t="n"/>
      <c r="K751" s="37" t="n"/>
      <c r="L751" s="37" t="n"/>
    </row>
    <row r="752">
      <c r="A752" s="34" t="n"/>
      <c r="B752" s="34" t="n"/>
      <c r="C752" s="34" t="n"/>
      <c r="K752" s="37" t="n"/>
      <c r="L752" s="37" t="n"/>
    </row>
    <row r="753">
      <c r="A753" s="34" t="n"/>
      <c r="B753" s="34" t="n"/>
      <c r="C753" s="34" t="n"/>
      <c r="K753" s="37" t="n"/>
      <c r="L753" s="37" t="n"/>
    </row>
    <row r="754">
      <c r="A754" s="34" t="n"/>
      <c r="B754" s="34" t="n"/>
      <c r="C754" s="34" t="n"/>
      <c r="K754" s="37" t="n"/>
      <c r="L754" s="37" t="n"/>
    </row>
    <row r="755">
      <c r="A755" s="34" t="n"/>
      <c r="B755" s="34" t="n"/>
      <c r="C755" s="34" t="n"/>
      <c r="K755" s="37" t="n"/>
      <c r="L755" s="37" t="n"/>
    </row>
    <row r="756">
      <c r="A756" s="34" t="n"/>
      <c r="B756" s="34" t="n"/>
      <c r="C756" s="34" t="n"/>
      <c r="K756" s="37" t="n"/>
      <c r="L756" s="37" t="n"/>
    </row>
    <row r="757">
      <c r="A757" s="34" t="n"/>
      <c r="B757" s="34" t="n"/>
      <c r="C757" s="34" t="n"/>
      <c r="K757" s="37" t="n"/>
      <c r="L757" s="37" t="n"/>
    </row>
    <row r="758">
      <c r="A758" s="34" t="n"/>
      <c r="B758" s="34" t="n"/>
      <c r="C758" s="34" t="n"/>
      <c r="K758" s="37" t="n"/>
      <c r="L758" s="37" t="n"/>
    </row>
    <row r="759">
      <c r="A759" s="34" t="n"/>
      <c r="B759" s="34" t="n"/>
      <c r="C759" s="34" t="n"/>
      <c r="K759" s="37" t="n"/>
      <c r="L759" s="37" t="n"/>
    </row>
    <row r="760">
      <c r="A760" s="34" t="n"/>
      <c r="B760" s="34" t="n"/>
      <c r="C760" s="34" t="n"/>
      <c r="K760" s="37" t="n"/>
      <c r="L760" s="37" t="n"/>
    </row>
    <row r="761">
      <c r="A761" s="34" t="n"/>
      <c r="B761" s="34" t="n"/>
      <c r="C761" s="34" t="n"/>
      <c r="K761" s="37" t="n"/>
      <c r="L761" s="37" t="n"/>
    </row>
    <row r="762">
      <c r="A762" s="34" t="n"/>
      <c r="B762" s="34" t="n"/>
      <c r="C762" s="34" t="n"/>
      <c r="K762" s="37" t="n"/>
      <c r="L762" s="37" t="n"/>
    </row>
    <row r="763">
      <c r="A763" s="34" t="n"/>
      <c r="B763" s="34" t="n"/>
      <c r="C763" s="34" t="n"/>
      <c r="K763" s="37" t="n"/>
      <c r="L763" s="37" t="n"/>
    </row>
    <row r="764">
      <c r="A764" s="34" t="n"/>
      <c r="B764" s="34" t="n"/>
      <c r="C764" s="34" t="n"/>
      <c r="K764" s="37" t="n"/>
      <c r="L764" s="37" t="n"/>
    </row>
    <row r="765">
      <c r="A765" s="34" t="n"/>
      <c r="B765" s="34" t="n"/>
      <c r="C765" s="34" t="n"/>
      <c r="K765" s="37" t="n"/>
      <c r="L765" s="37" t="n"/>
    </row>
    <row r="766">
      <c r="A766" s="34" t="n"/>
      <c r="B766" s="34" t="n"/>
      <c r="C766" s="34" t="n"/>
      <c r="K766" s="37" t="n"/>
      <c r="L766" s="37" t="n"/>
    </row>
    <row r="767">
      <c r="A767" s="34" t="n"/>
      <c r="B767" s="34" t="n"/>
      <c r="C767" s="34" t="n"/>
      <c r="K767" s="37" t="n"/>
      <c r="L767" s="37" t="n"/>
    </row>
    <row r="768">
      <c r="A768" s="34" t="n"/>
      <c r="B768" s="34" t="n"/>
      <c r="C768" s="34" t="n"/>
      <c r="K768" s="37" t="n"/>
      <c r="L768" s="37" t="n"/>
    </row>
    <row r="769">
      <c r="A769" s="34" t="n"/>
      <c r="B769" s="34" t="n"/>
      <c r="C769" s="34" t="n"/>
      <c r="K769" s="37" t="n"/>
      <c r="L769" s="37" t="n"/>
    </row>
    <row r="770">
      <c r="A770" s="34" t="n"/>
      <c r="B770" s="34" t="n"/>
      <c r="C770" s="34" t="n"/>
      <c r="K770" s="37" t="n"/>
      <c r="L770" s="37" t="n"/>
    </row>
    <row r="771">
      <c r="A771" s="34" t="n"/>
      <c r="B771" s="34" t="n"/>
      <c r="C771" s="34" t="n"/>
      <c r="K771" s="37" t="n"/>
      <c r="L771" s="37" t="n"/>
    </row>
    <row r="772">
      <c r="A772" s="34" t="n"/>
      <c r="B772" s="34" t="n"/>
      <c r="C772" s="34" t="n"/>
      <c r="K772" s="37" t="n"/>
      <c r="L772" s="37" t="n"/>
    </row>
    <row r="773">
      <c r="A773" s="34" t="n"/>
      <c r="B773" s="34" t="n"/>
      <c r="C773" s="34" t="n"/>
      <c r="K773" s="37" t="n"/>
      <c r="L773" s="37" t="n"/>
    </row>
    <row r="774">
      <c r="A774" s="34" t="n"/>
      <c r="B774" s="34" t="n"/>
      <c r="C774" s="34" t="n"/>
      <c r="K774" s="37" t="n"/>
      <c r="L774" s="37" t="n"/>
    </row>
    <row r="775">
      <c r="A775" s="34" t="n"/>
      <c r="B775" s="34" t="n"/>
      <c r="C775" s="34" t="n"/>
      <c r="K775" s="37" t="n"/>
      <c r="L775" s="37" t="n"/>
    </row>
    <row r="776">
      <c r="A776" s="34" t="n"/>
      <c r="B776" s="34" t="n"/>
      <c r="C776" s="34" t="n"/>
      <c r="K776" s="37" t="n"/>
      <c r="L776" s="37" t="n"/>
    </row>
    <row r="777">
      <c r="A777" s="34" t="n"/>
      <c r="B777" s="34" t="n"/>
      <c r="C777" s="34" t="n"/>
      <c r="K777" s="37" t="n"/>
      <c r="L777" s="37" t="n"/>
    </row>
    <row r="778">
      <c r="A778" s="34" t="n"/>
      <c r="B778" s="34" t="n"/>
      <c r="C778" s="34" t="n"/>
      <c r="K778" s="37" t="n"/>
      <c r="L778" s="37" t="n"/>
    </row>
    <row r="779">
      <c r="A779" s="34" t="n"/>
      <c r="B779" s="34" t="n"/>
      <c r="C779" s="34" t="n"/>
      <c r="K779" s="37" t="n"/>
      <c r="L779" s="37" t="n"/>
    </row>
    <row r="780">
      <c r="A780" s="34" t="n"/>
      <c r="B780" s="34" t="n"/>
      <c r="C780" s="34" t="n"/>
      <c r="K780" s="37" t="n"/>
      <c r="L780" s="37" t="n"/>
    </row>
    <row r="781">
      <c r="A781" s="34" t="n"/>
      <c r="B781" s="34" t="n"/>
      <c r="C781" s="34" t="n"/>
      <c r="K781" s="37" t="n"/>
      <c r="L781" s="37" t="n"/>
    </row>
    <row r="782">
      <c r="A782" s="34" t="n"/>
      <c r="B782" s="34" t="n"/>
      <c r="C782" s="34" t="n"/>
      <c r="K782" s="37" t="n"/>
      <c r="L782" s="37" t="n"/>
    </row>
    <row r="783">
      <c r="A783" s="34" t="n"/>
      <c r="B783" s="34" t="n"/>
      <c r="C783" s="34" t="n"/>
      <c r="K783" s="37" t="n"/>
      <c r="L783" s="37" t="n"/>
    </row>
    <row r="784">
      <c r="A784" s="34" t="n"/>
      <c r="B784" s="34" t="n"/>
      <c r="C784" s="34" t="n"/>
      <c r="K784" s="37" t="n"/>
      <c r="L784" s="37" t="n"/>
    </row>
    <row r="785">
      <c r="A785" s="34" t="n"/>
      <c r="B785" s="34" t="n"/>
      <c r="C785" s="34" t="n"/>
      <c r="K785" s="37" t="n"/>
      <c r="L785" s="37" t="n"/>
    </row>
    <row r="786">
      <c r="A786" s="34" t="n"/>
      <c r="B786" s="34" t="n"/>
      <c r="C786" s="34" t="n"/>
      <c r="K786" s="37" t="n"/>
      <c r="L786" s="37" t="n"/>
    </row>
    <row r="787">
      <c r="A787" s="34" t="n"/>
      <c r="B787" s="34" t="n"/>
      <c r="C787" s="34" t="n"/>
      <c r="K787" s="37" t="n"/>
      <c r="L787" s="37" t="n"/>
    </row>
    <row r="788">
      <c r="A788" s="34" t="n"/>
      <c r="B788" s="34" t="n"/>
      <c r="C788" s="34" t="n"/>
      <c r="K788" s="37" t="n"/>
      <c r="L788" s="37" t="n"/>
    </row>
    <row r="789">
      <c r="A789" s="34" t="n"/>
      <c r="B789" s="34" t="n"/>
      <c r="C789" s="34" t="n"/>
      <c r="K789" s="37" t="n"/>
      <c r="L789" s="37" t="n"/>
    </row>
    <row r="790">
      <c r="A790" s="34" t="n"/>
      <c r="B790" s="34" t="n"/>
      <c r="C790" s="34" t="n"/>
      <c r="K790" s="37" t="n"/>
      <c r="L790" s="37" t="n"/>
    </row>
    <row r="791">
      <c r="A791" s="34" t="n"/>
      <c r="B791" s="34" t="n"/>
      <c r="C791" s="34" t="n"/>
      <c r="K791" s="37" t="n"/>
      <c r="L791" s="37" t="n"/>
    </row>
    <row r="792">
      <c r="A792" s="34" t="n"/>
      <c r="B792" s="34" t="n"/>
      <c r="C792" s="34" t="n"/>
      <c r="K792" s="37" t="n"/>
      <c r="L792" s="37" t="n"/>
    </row>
    <row r="793">
      <c r="A793" s="34" t="n"/>
      <c r="B793" s="34" t="n"/>
      <c r="C793" s="34" t="n"/>
      <c r="K793" s="37" t="n"/>
      <c r="L793" s="37" t="n"/>
    </row>
    <row r="794">
      <c r="A794" s="34" t="n"/>
      <c r="B794" s="34" t="n"/>
      <c r="C794" s="34" t="n"/>
      <c r="K794" s="37" t="n"/>
      <c r="L794" s="37" t="n"/>
    </row>
    <row r="795">
      <c r="A795" s="34" t="n"/>
      <c r="B795" s="34" t="n"/>
      <c r="C795" s="34" t="n"/>
      <c r="K795" s="37" t="n"/>
      <c r="L795" s="37" t="n"/>
    </row>
    <row r="796">
      <c r="A796" s="34" t="n"/>
      <c r="B796" s="34" t="n"/>
      <c r="C796" s="34" t="n"/>
      <c r="K796" s="37" t="n"/>
      <c r="L796" s="37" t="n"/>
    </row>
    <row r="797">
      <c r="A797" s="34" t="n"/>
      <c r="B797" s="34" t="n"/>
      <c r="C797" s="34" t="n"/>
      <c r="K797" s="37" t="n"/>
      <c r="L797" s="37" t="n"/>
    </row>
    <row r="798">
      <c r="A798" s="34" t="n"/>
      <c r="B798" s="34" t="n"/>
      <c r="C798" s="34" t="n"/>
      <c r="K798" s="37" t="n"/>
      <c r="L798" s="37" t="n"/>
    </row>
    <row r="799">
      <c r="A799" s="34" t="n"/>
      <c r="B799" s="34" t="n"/>
      <c r="C799" s="34" t="n"/>
      <c r="K799" s="37" t="n"/>
      <c r="L799" s="37" t="n"/>
    </row>
    <row r="800">
      <c r="A800" s="34" t="n"/>
      <c r="B800" s="34" t="n"/>
      <c r="C800" s="34" t="n"/>
      <c r="K800" s="37" t="n"/>
      <c r="L800" s="37" t="n"/>
    </row>
    <row r="801">
      <c r="A801" s="34" t="n"/>
      <c r="B801" s="34" t="n"/>
      <c r="C801" s="34" t="n"/>
      <c r="K801" s="37" t="n"/>
      <c r="L801" s="37" t="n"/>
    </row>
    <row r="802">
      <c r="A802" s="34" t="n"/>
      <c r="B802" s="34" t="n"/>
      <c r="C802" s="34" t="n"/>
      <c r="K802" s="37" t="n"/>
      <c r="L802" s="37" t="n"/>
    </row>
    <row r="803">
      <c r="A803" s="34" t="n"/>
      <c r="B803" s="34" t="n"/>
      <c r="C803" s="34" t="n"/>
      <c r="K803" s="37" t="n"/>
      <c r="L803" s="37" t="n"/>
    </row>
    <row r="804">
      <c r="A804" s="34" t="n"/>
      <c r="B804" s="34" t="n"/>
      <c r="C804" s="34" t="n"/>
      <c r="K804" s="37" t="n"/>
      <c r="L804" s="37" t="n"/>
    </row>
    <row r="805">
      <c r="A805" s="34" t="n"/>
      <c r="B805" s="34" t="n"/>
      <c r="C805" s="34" t="n"/>
      <c r="K805" s="37" t="n"/>
      <c r="L805" s="37" t="n"/>
    </row>
    <row r="806">
      <c r="A806" s="34" t="n"/>
      <c r="B806" s="34" t="n"/>
      <c r="C806" s="34" t="n"/>
      <c r="K806" s="37" t="n"/>
      <c r="L806" s="37" t="n"/>
    </row>
    <row r="807">
      <c r="A807" s="34" t="n"/>
      <c r="B807" s="34" t="n"/>
      <c r="C807" s="34" t="n"/>
      <c r="K807" s="37" t="n"/>
      <c r="L807" s="37" t="n"/>
    </row>
    <row r="808">
      <c r="A808" s="34" t="n"/>
      <c r="B808" s="34" t="n"/>
      <c r="C808" s="34" t="n"/>
      <c r="K808" s="37" t="n"/>
      <c r="L808" s="37" t="n"/>
    </row>
    <row r="809">
      <c r="A809" s="34" t="n"/>
      <c r="B809" s="34" t="n"/>
      <c r="C809" s="34" t="n"/>
      <c r="K809" s="37" t="n"/>
      <c r="L809" s="37" t="n"/>
    </row>
    <row r="810">
      <c r="A810" s="34" t="n"/>
      <c r="B810" s="34" t="n"/>
      <c r="C810" s="34" t="n"/>
      <c r="K810" s="37" t="n"/>
      <c r="L810" s="37" t="n"/>
    </row>
    <row r="811">
      <c r="A811" s="34" t="n"/>
      <c r="B811" s="34" t="n"/>
      <c r="C811" s="34" t="n"/>
      <c r="K811" s="37" t="n"/>
      <c r="L811" s="37" t="n"/>
    </row>
    <row r="812">
      <c r="A812" s="34" t="n"/>
      <c r="B812" s="34" t="n"/>
      <c r="C812" s="34" t="n"/>
      <c r="K812" s="37" t="n"/>
      <c r="L812" s="37" t="n"/>
    </row>
    <row r="813">
      <c r="A813" s="34" t="n"/>
      <c r="B813" s="34" t="n"/>
      <c r="C813" s="34" t="n"/>
      <c r="K813" s="37" t="n"/>
      <c r="L813" s="37" t="n"/>
    </row>
    <row r="814">
      <c r="A814" s="34" t="n"/>
      <c r="B814" s="34" t="n"/>
      <c r="C814" s="34" t="n"/>
      <c r="K814" s="37" t="n"/>
      <c r="L814" s="37" t="n"/>
    </row>
    <row r="815">
      <c r="A815" s="34" t="n"/>
      <c r="B815" s="34" t="n"/>
      <c r="C815" s="34" t="n"/>
      <c r="K815" s="37" t="n"/>
      <c r="L815" s="37" t="n"/>
    </row>
    <row r="816">
      <c r="A816" s="34" t="n"/>
      <c r="B816" s="34" t="n"/>
      <c r="C816" s="34" t="n"/>
      <c r="K816" s="37" t="n"/>
      <c r="L816" s="37" t="n"/>
    </row>
    <row r="817">
      <c r="A817" s="34" t="n"/>
      <c r="B817" s="34" t="n"/>
      <c r="C817" s="34" t="n"/>
      <c r="K817" s="37" t="n"/>
      <c r="L817" s="37" t="n"/>
    </row>
    <row r="818">
      <c r="A818" s="34" t="n"/>
      <c r="B818" s="34" t="n"/>
      <c r="C818" s="34" t="n"/>
      <c r="K818" s="37" t="n"/>
      <c r="L818" s="37" t="n"/>
    </row>
    <row r="819">
      <c r="A819" s="34" t="n"/>
      <c r="B819" s="34" t="n"/>
      <c r="C819" s="34" t="n"/>
      <c r="K819" s="37" t="n"/>
      <c r="L819" s="37" t="n"/>
    </row>
    <row r="820">
      <c r="A820" s="34" t="n"/>
      <c r="B820" s="34" t="n"/>
      <c r="C820" s="34" t="n"/>
      <c r="K820" s="37" t="n"/>
      <c r="L820" s="37" t="n"/>
    </row>
    <row r="821">
      <c r="A821" s="34" t="n"/>
      <c r="B821" s="34" t="n"/>
      <c r="C821" s="34" t="n"/>
      <c r="K821" s="37" t="n"/>
      <c r="L821" s="37" t="n"/>
    </row>
    <row r="822">
      <c r="A822" s="34" t="n"/>
      <c r="B822" s="34" t="n"/>
      <c r="C822" s="34" t="n"/>
      <c r="K822" s="37" t="n"/>
      <c r="L822" s="37" t="n"/>
    </row>
    <row r="823">
      <c r="A823" s="34" t="n"/>
      <c r="B823" s="34" t="n"/>
      <c r="C823" s="34" t="n"/>
      <c r="K823" s="37" t="n"/>
      <c r="L823" s="37" t="n"/>
    </row>
    <row r="824">
      <c r="A824" s="34" t="n"/>
      <c r="B824" s="34" t="n"/>
      <c r="C824" s="34" t="n"/>
      <c r="K824" s="37" t="n"/>
      <c r="L824" s="37" t="n"/>
    </row>
    <row r="825">
      <c r="A825" s="34" t="n"/>
      <c r="B825" s="34" t="n"/>
      <c r="C825" s="34" t="n"/>
      <c r="K825" s="37" t="n"/>
      <c r="L825" s="37" t="n"/>
    </row>
    <row r="826">
      <c r="A826" s="34" t="n"/>
      <c r="B826" s="34" t="n"/>
      <c r="C826" s="34" t="n"/>
      <c r="K826" s="37" t="n"/>
      <c r="L826" s="37" t="n"/>
    </row>
    <row r="827">
      <c r="A827" s="34" t="n"/>
      <c r="B827" s="34" t="n"/>
      <c r="C827" s="34" t="n"/>
      <c r="K827" s="37" t="n"/>
      <c r="L827" s="37" t="n"/>
    </row>
    <row r="828">
      <c r="A828" s="34" t="n"/>
      <c r="B828" s="34" t="n"/>
      <c r="C828" s="34" t="n"/>
      <c r="K828" s="37" t="n"/>
      <c r="L828" s="37" t="n"/>
    </row>
    <row r="829">
      <c r="A829" s="34" t="n"/>
      <c r="B829" s="34" t="n"/>
      <c r="C829" s="34" t="n"/>
      <c r="K829" s="37" t="n"/>
      <c r="L829" s="37" t="n"/>
    </row>
    <row r="830">
      <c r="A830" s="34" t="n"/>
      <c r="B830" s="34" t="n"/>
      <c r="C830" s="34" t="n"/>
      <c r="K830" s="37" t="n"/>
      <c r="L830" s="37" t="n"/>
    </row>
    <row r="831">
      <c r="A831" s="34" t="n"/>
      <c r="B831" s="34" t="n"/>
      <c r="C831" s="34" t="n"/>
      <c r="K831" s="37" t="n"/>
      <c r="L831" s="37" t="n"/>
    </row>
    <row r="832">
      <c r="A832" s="34" t="n"/>
      <c r="B832" s="34" t="n"/>
      <c r="C832" s="34" t="n"/>
      <c r="K832" s="37" t="n"/>
      <c r="L832" s="37" t="n"/>
    </row>
    <row r="833">
      <c r="A833" s="34" t="n"/>
      <c r="B833" s="34" t="n"/>
      <c r="C833" s="34" t="n"/>
      <c r="K833" s="37" t="n"/>
      <c r="L833" s="37" t="n"/>
    </row>
    <row r="834">
      <c r="A834" s="34" t="n"/>
      <c r="B834" s="34" t="n"/>
      <c r="C834" s="34" t="n"/>
      <c r="K834" s="37" t="n"/>
      <c r="L834" s="37" t="n"/>
    </row>
    <row r="835">
      <c r="A835" s="34" t="n"/>
      <c r="B835" s="34" t="n"/>
      <c r="C835" s="34" t="n"/>
      <c r="K835" s="37" t="n"/>
      <c r="L835" s="37" t="n"/>
    </row>
    <row r="836">
      <c r="A836" s="34" t="n"/>
      <c r="B836" s="34" t="n"/>
      <c r="C836" s="34" t="n"/>
      <c r="K836" s="37" t="n"/>
      <c r="L836" s="37" t="n"/>
    </row>
    <row r="837">
      <c r="A837" s="34" t="n"/>
      <c r="B837" s="34" t="n"/>
      <c r="C837" s="34" t="n"/>
      <c r="K837" s="37" t="n"/>
      <c r="L837" s="37" t="n"/>
    </row>
    <row r="838">
      <c r="A838" s="34" t="n"/>
      <c r="B838" s="34" t="n"/>
      <c r="C838" s="34" t="n"/>
      <c r="K838" s="37" t="n"/>
      <c r="L838" s="37" t="n"/>
    </row>
    <row r="839">
      <c r="A839" s="34" t="n"/>
      <c r="B839" s="34" t="n"/>
      <c r="C839" s="34" t="n"/>
      <c r="K839" s="37" t="n"/>
      <c r="L839" s="37" t="n"/>
    </row>
    <row r="840">
      <c r="A840" s="34" t="n"/>
      <c r="B840" s="34" t="n"/>
      <c r="C840" s="34" t="n"/>
      <c r="K840" s="37" t="n"/>
      <c r="L840" s="37" t="n"/>
    </row>
    <row r="841">
      <c r="A841" s="34" t="n"/>
      <c r="B841" s="34" t="n"/>
      <c r="C841" s="34" t="n"/>
      <c r="K841" s="37" t="n"/>
      <c r="L841" s="37" t="n"/>
    </row>
    <row r="842">
      <c r="A842" s="34" t="n"/>
      <c r="B842" s="34" t="n"/>
      <c r="C842" s="34" t="n"/>
      <c r="K842" s="37" t="n"/>
      <c r="L842" s="37" t="n"/>
    </row>
    <row r="843">
      <c r="A843" s="34" t="n"/>
      <c r="B843" s="34" t="n"/>
      <c r="C843" s="34" t="n"/>
      <c r="K843" s="37" t="n"/>
      <c r="L843" s="37" t="n"/>
    </row>
    <row r="844">
      <c r="A844" s="34" t="n"/>
      <c r="B844" s="34" t="n"/>
      <c r="C844" s="34" t="n"/>
      <c r="K844" s="37" t="n"/>
      <c r="L844" s="37" t="n"/>
    </row>
    <row r="845">
      <c r="A845" s="34" t="n"/>
      <c r="B845" s="34" t="n"/>
      <c r="C845" s="34" t="n"/>
      <c r="K845" s="37" t="n"/>
      <c r="L845" s="37" t="n"/>
    </row>
    <row r="846">
      <c r="A846" s="34" t="n"/>
      <c r="B846" s="34" t="n"/>
      <c r="C846" s="34" t="n"/>
      <c r="K846" s="37" t="n"/>
      <c r="L846" s="37" t="n"/>
    </row>
    <row r="847">
      <c r="A847" s="34" t="n"/>
      <c r="B847" s="34" t="n"/>
      <c r="C847" s="34" t="n"/>
      <c r="K847" s="37" t="n"/>
      <c r="L847" s="37" t="n"/>
    </row>
    <row r="848">
      <c r="A848" s="34" t="n"/>
      <c r="B848" s="34" t="n"/>
      <c r="C848" s="34" t="n"/>
      <c r="K848" s="37" t="n"/>
      <c r="L848" s="37" t="n"/>
    </row>
    <row r="849">
      <c r="A849" s="34" t="n"/>
      <c r="B849" s="34" t="n"/>
      <c r="C849" s="34" t="n"/>
      <c r="K849" s="37" t="n"/>
      <c r="L849" s="37" t="n"/>
    </row>
    <row r="850">
      <c r="A850" s="34" t="n"/>
      <c r="B850" s="34" t="n"/>
      <c r="C850" s="34" t="n"/>
      <c r="K850" s="37" t="n"/>
      <c r="L850" s="37" t="n"/>
    </row>
    <row r="851">
      <c r="A851" s="34" t="n"/>
      <c r="B851" s="34" t="n"/>
      <c r="C851" s="34" t="n"/>
      <c r="K851" s="37" t="n"/>
      <c r="L851" s="37" t="n"/>
    </row>
    <row r="852">
      <c r="A852" s="34" t="n"/>
      <c r="B852" s="34" t="n"/>
      <c r="C852" s="34" t="n"/>
      <c r="K852" s="37" t="n"/>
      <c r="L852" s="37" t="n"/>
    </row>
    <row r="853">
      <c r="A853" s="34" t="n"/>
      <c r="B853" s="34" t="n"/>
      <c r="C853" s="34" t="n"/>
      <c r="K853" s="37" t="n"/>
      <c r="L853" s="37" t="n"/>
    </row>
    <row r="854">
      <c r="A854" s="34" t="n"/>
      <c r="B854" s="34" t="n"/>
      <c r="C854" s="34" t="n"/>
      <c r="K854" s="37" t="n"/>
      <c r="L854" s="37" t="n"/>
    </row>
    <row r="855">
      <c r="A855" s="34" t="n"/>
      <c r="B855" s="34" t="n"/>
      <c r="C855" s="34" t="n"/>
      <c r="K855" s="37" t="n"/>
      <c r="L855" s="37" t="n"/>
    </row>
    <row r="856">
      <c r="A856" s="34" t="n"/>
      <c r="B856" s="34" t="n"/>
      <c r="C856" s="34" t="n"/>
      <c r="K856" s="37" t="n"/>
      <c r="L856" s="37" t="n"/>
    </row>
    <row r="857">
      <c r="A857" s="34" t="n"/>
      <c r="B857" s="34" t="n"/>
      <c r="C857" s="34" t="n"/>
      <c r="K857" s="37" t="n"/>
      <c r="L857" s="37" t="n"/>
    </row>
    <row r="858">
      <c r="A858" s="34" t="n"/>
      <c r="B858" s="34" t="n"/>
      <c r="C858" s="34" t="n"/>
      <c r="K858" s="37" t="n"/>
      <c r="L858" s="37" t="n"/>
    </row>
    <row r="859">
      <c r="A859" s="34" t="n"/>
      <c r="B859" s="34" t="n"/>
      <c r="C859" s="34" t="n"/>
      <c r="K859" s="37" t="n"/>
      <c r="L859" s="37" t="n"/>
    </row>
    <row r="860">
      <c r="A860" s="34" t="n"/>
      <c r="B860" s="34" t="n"/>
      <c r="C860" s="34" t="n"/>
      <c r="K860" s="37" t="n"/>
      <c r="L860" s="37" t="n"/>
    </row>
    <row r="861">
      <c r="A861" s="34" t="n"/>
      <c r="B861" s="34" t="n"/>
      <c r="C861" s="34" t="n"/>
      <c r="K861" s="37" t="n"/>
      <c r="L861" s="37" t="n"/>
    </row>
    <row r="862">
      <c r="A862" s="34" t="n"/>
      <c r="B862" s="34" t="n"/>
      <c r="C862" s="34" t="n"/>
      <c r="K862" s="37" t="n"/>
      <c r="L862" s="37" t="n"/>
    </row>
    <row r="863">
      <c r="A863" s="34" t="n"/>
      <c r="B863" s="34" t="n"/>
      <c r="C863" s="34" t="n"/>
      <c r="K863" s="37" t="n"/>
      <c r="L863" s="37" t="n"/>
    </row>
    <row r="864">
      <c r="A864" s="34" t="n"/>
      <c r="B864" s="34" t="n"/>
      <c r="C864" s="34" t="n"/>
      <c r="K864" s="37" t="n"/>
      <c r="L864" s="37" t="n"/>
    </row>
    <row r="865">
      <c r="A865" s="34" t="n"/>
      <c r="B865" s="34" t="n"/>
      <c r="C865" s="34" t="n"/>
      <c r="K865" s="37" t="n"/>
      <c r="L865" s="37" t="n"/>
    </row>
    <row r="866">
      <c r="A866" s="34" t="n"/>
      <c r="B866" s="34" t="n"/>
      <c r="C866" s="34" t="n"/>
      <c r="K866" s="37" t="n"/>
      <c r="L866" s="37" t="n"/>
    </row>
    <row r="867">
      <c r="A867" s="34" t="n"/>
      <c r="B867" s="34" t="n"/>
      <c r="C867" s="34" t="n"/>
      <c r="K867" s="37" t="n"/>
      <c r="L867" s="37" t="n"/>
    </row>
    <row r="868">
      <c r="A868" s="34" t="n"/>
      <c r="B868" s="34" t="n"/>
      <c r="C868" s="34" t="n"/>
      <c r="K868" s="37" t="n"/>
      <c r="L868" s="37" t="n"/>
    </row>
    <row r="869">
      <c r="A869" s="34" t="n"/>
      <c r="B869" s="34" t="n"/>
      <c r="C869" s="34" t="n"/>
      <c r="K869" s="37" t="n"/>
      <c r="L869" s="37" t="n"/>
    </row>
    <row r="870">
      <c r="A870" s="34" t="n"/>
      <c r="B870" s="34" t="n"/>
      <c r="C870" s="34" t="n"/>
      <c r="K870" s="37" t="n"/>
      <c r="L870" s="37" t="n"/>
    </row>
    <row r="871">
      <c r="A871" s="34" t="n"/>
      <c r="B871" s="34" t="n"/>
      <c r="C871" s="34" t="n"/>
      <c r="K871" s="37" t="n"/>
      <c r="L871" s="37" t="n"/>
    </row>
    <row r="872">
      <c r="A872" s="34" t="n"/>
      <c r="B872" s="34" t="n"/>
      <c r="C872" s="34" t="n"/>
      <c r="K872" s="37" t="n"/>
      <c r="L872" s="37" t="n"/>
    </row>
    <row r="873">
      <c r="A873" s="34" t="n"/>
      <c r="B873" s="34" t="n"/>
      <c r="C873" s="34" t="n"/>
      <c r="K873" s="37" t="n"/>
      <c r="L873" s="37" t="n"/>
    </row>
    <row r="874">
      <c r="A874" s="34" t="n"/>
      <c r="B874" s="34" t="n"/>
      <c r="C874" s="34" t="n"/>
      <c r="K874" s="37" t="n"/>
      <c r="L874" s="37" t="n"/>
    </row>
    <row r="875">
      <c r="A875" s="34" t="n"/>
      <c r="B875" s="34" t="n"/>
      <c r="C875" s="34" t="n"/>
      <c r="K875" s="37" t="n"/>
      <c r="L875" s="37" t="n"/>
    </row>
    <row r="876">
      <c r="A876" s="34" t="n"/>
      <c r="B876" s="34" t="n"/>
      <c r="C876" s="34" t="n"/>
      <c r="K876" s="37" t="n"/>
      <c r="L876" s="37" t="n"/>
    </row>
    <row r="877">
      <c r="A877" s="34" t="n"/>
      <c r="B877" s="34" t="n"/>
      <c r="C877" s="34" t="n"/>
      <c r="K877" s="37" t="n"/>
      <c r="L877" s="37" t="n"/>
    </row>
    <row r="878">
      <c r="A878" s="34" t="n"/>
      <c r="B878" s="34" t="n"/>
      <c r="C878" s="34" t="n"/>
      <c r="K878" s="37" t="n"/>
      <c r="L878" s="37" t="n"/>
    </row>
    <row r="879">
      <c r="A879" s="34" t="n"/>
      <c r="B879" s="34" t="n"/>
      <c r="C879" s="34" t="n"/>
      <c r="K879" s="37" t="n"/>
      <c r="L879" s="37" t="n"/>
    </row>
    <row r="880">
      <c r="A880" s="34" t="n"/>
      <c r="B880" s="34" t="n"/>
      <c r="C880" s="34" t="n"/>
      <c r="K880" s="37" t="n"/>
      <c r="L880" s="37" t="n"/>
    </row>
    <row r="881">
      <c r="A881" s="34" t="n"/>
      <c r="B881" s="34" t="n"/>
      <c r="C881" s="34" t="n"/>
      <c r="K881" s="37" t="n"/>
      <c r="L881" s="37" t="n"/>
    </row>
    <row r="882">
      <c r="A882" s="34" t="n"/>
      <c r="B882" s="34" t="n"/>
      <c r="C882" s="34" t="n"/>
      <c r="K882" s="37" t="n"/>
      <c r="L882" s="37" t="n"/>
    </row>
    <row r="883">
      <c r="A883" s="34" t="n"/>
      <c r="B883" s="34" t="n"/>
      <c r="C883" s="34" t="n"/>
      <c r="K883" s="37" t="n"/>
      <c r="L883" s="37" t="n"/>
    </row>
    <row r="884">
      <c r="A884" s="34" t="n"/>
      <c r="B884" s="34" t="n"/>
      <c r="C884" s="34" t="n"/>
      <c r="K884" s="37" t="n"/>
      <c r="L884" s="37" t="n"/>
    </row>
    <row r="885">
      <c r="A885" s="34" t="n"/>
      <c r="B885" s="34" t="n"/>
      <c r="C885" s="34" t="n"/>
      <c r="K885" s="37" t="n"/>
      <c r="L885" s="37" t="n"/>
    </row>
    <row r="886">
      <c r="A886" s="34" t="n"/>
      <c r="B886" s="34" t="n"/>
      <c r="C886" s="34" t="n"/>
      <c r="K886" s="37" t="n"/>
      <c r="L886" s="37" t="n"/>
    </row>
    <row r="887">
      <c r="A887" s="34" t="n"/>
      <c r="B887" s="34" t="n"/>
      <c r="C887" s="34" t="n"/>
      <c r="K887" s="37" t="n"/>
      <c r="L887" s="37" t="n"/>
    </row>
    <row r="888">
      <c r="A888" s="34" t="n"/>
      <c r="B888" s="34" t="n"/>
      <c r="C888" s="34" t="n"/>
      <c r="K888" s="37" t="n"/>
      <c r="L888" s="37" t="n"/>
    </row>
    <row r="889">
      <c r="A889" s="34" t="n"/>
      <c r="B889" s="34" t="n"/>
      <c r="C889" s="34" t="n"/>
      <c r="K889" s="37" t="n"/>
      <c r="L889" s="37" t="n"/>
    </row>
    <row r="890">
      <c r="A890" s="34" t="n"/>
      <c r="B890" s="34" t="n"/>
      <c r="C890" s="34" t="n"/>
      <c r="K890" s="37" t="n"/>
      <c r="L890" s="37" t="n"/>
    </row>
    <row r="891">
      <c r="A891" s="34" t="n"/>
      <c r="B891" s="34" t="n"/>
      <c r="C891" s="34" t="n"/>
      <c r="K891" s="37" t="n"/>
      <c r="L891" s="37" t="n"/>
    </row>
    <row r="892">
      <c r="A892" s="34" t="n"/>
      <c r="B892" s="34" t="n"/>
      <c r="C892" s="34" t="n"/>
      <c r="K892" s="37" t="n"/>
      <c r="L892" s="37" t="n"/>
    </row>
    <row r="893">
      <c r="A893" s="34" t="n"/>
      <c r="B893" s="34" t="n"/>
      <c r="C893" s="34" t="n"/>
      <c r="K893" s="37" t="n"/>
      <c r="L893" s="37" t="n"/>
    </row>
    <row r="894">
      <c r="A894" s="34" t="n"/>
      <c r="B894" s="34" t="n"/>
      <c r="C894" s="34" t="n"/>
      <c r="K894" s="37" t="n"/>
      <c r="L894" s="37" t="n"/>
    </row>
    <row r="895">
      <c r="A895" s="34" t="n"/>
      <c r="B895" s="34" t="n"/>
      <c r="C895" s="34" t="n"/>
      <c r="K895" s="37" t="n"/>
      <c r="L895" s="37" t="n"/>
    </row>
    <row r="896">
      <c r="A896" s="34" t="n"/>
      <c r="B896" s="34" t="n"/>
      <c r="C896" s="34" t="n"/>
      <c r="K896" s="37" t="n"/>
      <c r="L896" s="37" t="n"/>
    </row>
    <row r="897">
      <c r="A897" s="34" t="n"/>
      <c r="B897" s="34" t="n"/>
      <c r="C897" s="34" t="n"/>
      <c r="K897" s="37" t="n"/>
      <c r="L897" s="37" t="n"/>
    </row>
    <row r="898">
      <c r="A898" s="34" t="n"/>
      <c r="B898" s="34" t="n"/>
      <c r="C898" s="34" t="n"/>
      <c r="K898" s="37" t="n"/>
      <c r="L898" s="37" t="n"/>
    </row>
    <row r="899">
      <c r="A899" s="34" t="n"/>
      <c r="B899" s="34" t="n"/>
      <c r="C899" s="34" t="n"/>
      <c r="K899" s="37" t="n"/>
      <c r="L899" s="37" t="n"/>
    </row>
    <row r="900">
      <c r="A900" s="34" t="n"/>
      <c r="B900" s="34" t="n"/>
      <c r="C900" s="34" t="n"/>
      <c r="K900" s="37" t="n"/>
      <c r="L900" s="37" t="n"/>
    </row>
    <row r="901">
      <c r="A901" s="34" t="n"/>
      <c r="B901" s="34" t="n"/>
      <c r="C901" s="34" t="n"/>
      <c r="K901" s="37" t="n"/>
      <c r="L901" s="37" t="n"/>
    </row>
    <row r="902">
      <c r="A902" s="34" t="n"/>
      <c r="B902" s="34" t="n"/>
      <c r="C902" s="34" t="n"/>
      <c r="K902" s="37" t="n"/>
      <c r="L902" s="37" t="n"/>
    </row>
    <row r="903">
      <c r="A903" s="34" t="n"/>
      <c r="B903" s="34" t="n"/>
      <c r="C903" s="34" t="n"/>
      <c r="K903" s="37" t="n"/>
      <c r="L903" s="37" t="n"/>
    </row>
    <row r="904">
      <c r="A904" s="34" t="n"/>
      <c r="B904" s="34" t="n"/>
      <c r="C904" s="34" t="n"/>
      <c r="K904" s="37" t="n"/>
      <c r="L904" s="37" t="n"/>
    </row>
    <row r="905">
      <c r="A905" s="34" t="n"/>
      <c r="B905" s="34" t="n"/>
      <c r="C905" s="34" t="n"/>
      <c r="K905" s="37" t="n"/>
      <c r="L905" s="37" t="n"/>
    </row>
    <row r="906">
      <c r="A906" s="34" t="n"/>
      <c r="B906" s="34" t="n"/>
      <c r="C906" s="34" t="n"/>
      <c r="K906" s="37" t="n"/>
      <c r="L906" s="37" t="n"/>
    </row>
    <row r="907">
      <c r="A907" s="34" t="n"/>
      <c r="B907" s="34" t="n"/>
      <c r="C907" s="34" t="n"/>
      <c r="K907" s="37" t="n"/>
      <c r="L907" s="37" t="n"/>
    </row>
    <row r="908">
      <c r="A908" s="34" t="n"/>
      <c r="B908" s="34" t="n"/>
      <c r="C908" s="34" t="n"/>
      <c r="K908" s="37" t="n"/>
      <c r="L908" s="37" t="n"/>
    </row>
    <row r="909">
      <c r="A909" s="34" t="n"/>
      <c r="B909" s="34" t="n"/>
      <c r="C909" s="34" t="n"/>
      <c r="K909" s="37" t="n"/>
      <c r="L909" s="37" t="n"/>
    </row>
    <row r="910">
      <c r="A910" s="34" t="n"/>
      <c r="B910" s="34" t="n"/>
      <c r="C910" s="34" t="n"/>
      <c r="K910" s="37" t="n"/>
      <c r="L910" s="37" t="n"/>
    </row>
    <row r="911">
      <c r="A911" s="34" t="n"/>
      <c r="B911" s="34" t="n"/>
      <c r="C911" s="34" t="n"/>
      <c r="K911" s="37" t="n"/>
      <c r="L911" s="37" t="n"/>
    </row>
    <row r="912">
      <c r="A912" s="34" t="n"/>
      <c r="B912" s="34" t="n"/>
      <c r="C912" s="34" t="n"/>
      <c r="K912" s="37" t="n"/>
      <c r="L912" s="37" t="n"/>
    </row>
    <row r="913">
      <c r="A913" s="34" t="n"/>
      <c r="B913" s="34" t="n"/>
      <c r="C913" s="34" t="n"/>
      <c r="K913" s="37" t="n"/>
      <c r="L913" s="37" t="n"/>
    </row>
    <row r="914">
      <c r="A914" s="34" t="n"/>
      <c r="B914" s="34" t="n"/>
      <c r="C914" s="34" t="n"/>
      <c r="K914" s="37" t="n"/>
      <c r="L914" s="37" t="n"/>
    </row>
    <row r="915">
      <c r="A915" s="34" t="n"/>
      <c r="B915" s="34" t="n"/>
      <c r="C915" s="34" t="n"/>
      <c r="K915" s="37" t="n"/>
      <c r="L915" s="37" t="n"/>
    </row>
    <row r="916">
      <c r="A916" s="34" t="n"/>
      <c r="B916" s="34" t="n"/>
      <c r="C916" s="34" t="n"/>
      <c r="K916" s="37" t="n"/>
      <c r="L916" s="37" t="n"/>
    </row>
    <row r="917">
      <c r="A917" s="34" t="n"/>
      <c r="B917" s="34" t="n"/>
      <c r="C917" s="34" t="n"/>
      <c r="K917" s="37" t="n"/>
      <c r="L917" s="37" t="n"/>
    </row>
    <row r="918">
      <c r="A918" s="34" t="n"/>
      <c r="B918" s="34" t="n"/>
      <c r="C918" s="34" t="n"/>
      <c r="K918" s="37" t="n"/>
      <c r="L918" s="37" t="n"/>
    </row>
    <row r="919">
      <c r="A919" s="34" t="n"/>
      <c r="B919" s="34" t="n"/>
      <c r="C919" s="34" t="n"/>
      <c r="K919" s="37" t="n"/>
      <c r="L919" s="37" t="n"/>
    </row>
    <row r="920">
      <c r="A920" s="34" t="n"/>
      <c r="B920" s="34" t="n"/>
      <c r="C920" s="34" t="n"/>
      <c r="K920" s="37" t="n"/>
      <c r="L920" s="37" t="n"/>
    </row>
    <row r="921">
      <c r="A921" s="34" t="n"/>
      <c r="B921" s="34" t="n"/>
      <c r="C921" s="34" t="n"/>
      <c r="K921" s="37" t="n"/>
      <c r="L921" s="37" t="n"/>
    </row>
    <row r="922">
      <c r="A922" s="34" t="n"/>
      <c r="B922" s="34" t="n"/>
      <c r="C922" s="34" t="n"/>
      <c r="K922" s="37" t="n"/>
      <c r="L922" s="37" t="n"/>
    </row>
    <row r="923">
      <c r="A923" s="34" t="n"/>
      <c r="B923" s="34" t="n"/>
      <c r="C923" s="34" t="n"/>
      <c r="K923" s="37" t="n"/>
      <c r="L923" s="37" t="n"/>
    </row>
    <row r="924">
      <c r="A924" s="34" t="n"/>
      <c r="B924" s="34" t="n"/>
      <c r="C924" s="34" t="n"/>
      <c r="K924" s="37" t="n"/>
      <c r="L924" s="37" t="n"/>
    </row>
    <row r="925">
      <c r="A925" s="34" t="n"/>
      <c r="B925" s="34" t="n"/>
      <c r="C925" s="34" t="n"/>
      <c r="K925" s="37" t="n"/>
      <c r="L925" s="37" t="n"/>
    </row>
    <row r="926">
      <c r="A926" s="34" t="n"/>
      <c r="B926" s="34" t="n"/>
      <c r="C926" s="34" t="n"/>
      <c r="K926" s="37" t="n"/>
      <c r="L926" s="37" t="n"/>
    </row>
    <row r="927">
      <c r="A927" s="34" t="n"/>
      <c r="B927" s="34" t="n"/>
      <c r="C927" s="34" t="n"/>
      <c r="K927" s="37" t="n"/>
      <c r="L927" s="37" t="n"/>
    </row>
    <row r="928">
      <c r="A928" s="34" t="n"/>
      <c r="B928" s="34" t="n"/>
      <c r="C928" s="34" t="n"/>
      <c r="K928" s="37" t="n"/>
      <c r="L928" s="37" t="n"/>
    </row>
    <row r="929">
      <c r="A929" s="34" t="n"/>
      <c r="B929" s="34" t="n"/>
      <c r="C929" s="34" t="n"/>
      <c r="K929" s="37" t="n"/>
      <c r="L929" s="37" t="n"/>
    </row>
    <row r="930">
      <c r="A930" s="34" t="n"/>
      <c r="B930" s="34" t="n"/>
      <c r="C930" s="34" t="n"/>
      <c r="K930" s="37" t="n"/>
      <c r="L930" s="37" t="n"/>
    </row>
    <row r="931">
      <c r="A931" s="34" t="n"/>
      <c r="B931" s="34" t="n"/>
      <c r="C931" s="34" t="n"/>
      <c r="K931" s="37" t="n"/>
      <c r="L931" s="37" t="n"/>
    </row>
    <row r="932">
      <c r="A932" s="34" t="n"/>
      <c r="B932" s="34" t="n"/>
      <c r="C932" s="34" t="n"/>
      <c r="K932" s="37" t="n"/>
      <c r="L932" s="37" t="n"/>
    </row>
    <row r="933">
      <c r="A933" s="34" t="n"/>
      <c r="B933" s="34" t="n"/>
      <c r="C933" s="34" t="n"/>
      <c r="K933" s="37" t="n"/>
      <c r="L933" s="37" t="n"/>
    </row>
    <row r="934">
      <c r="A934" s="34" t="n"/>
      <c r="B934" s="34" t="n"/>
      <c r="C934" s="34" t="n"/>
      <c r="K934" s="37" t="n"/>
      <c r="L934" s="37" t="n"/>
    </row>
    <row r="935">
      <c r="A935" s="34" t="n"/>
      <c r="B935" s="34" t="n"/>
      <c r="C935" s="34" t="n"/>
      <c r="K935" s="37" t="n"/>
      <c r="L935" s="37" t="n"/>
    </row>
    <row r="936">
      <c r="A936" s="34" t="n"/>
      <c r="B936" s="34" t="n"/>
      <c r="C936" s="34" t="n"/>
      <c r="K936" s="37" t="n"/>
      <c r="L936" s="37" t="n"/>
    </row>
    <row r="937">
      <c r="A937" s="34" t="n"/>
      <c r="B937" s="34" t="n"/>
      <c r="C937" s="34" t="n"/>
      <c r="K937" s="37" t="n"/>
      <c r="L937" s="37" t="n"/>
    </row>
    <row r="938">
      <c r="A938" s="34" t="n"/>
      <c r="B938" s="34" t="n"/>
      <c r="C938" s="34" t="n"/>
      <c r="K938" s="37" t="n"/>
      <c r="L938" s="37" t="n"/>
    </row>
    <row r="939">
      <c r="A939" s="34" t="n"/>
      <c r="B939" s="34" t="n"/>
      <c r="C939" s="34" t="n"/>
      <c r="K939" s="37" t="n"/>
      <c r="L939" s="37" t="n"/>
    </row>
    <row r="940">
      <c r="A940" s="34" t="n"/>
      <c r="B940" s="34" t="n"/>
      <c r="C940" s="34" t="n"/>
      <c r="K940" s="37" t="n"/>
      <c r="L940" s="37" t="n"/>
    </row>
    <row r="941">
      <c r="A941" s="34" t="n"/>
      <c r="B941" s="34" t="n"/>
      <c r="C941" s="34" t="n"/>
      <c r="K941" s="37" t="n"/>
      <c r="L941" s="37" t="n"/>
    </row>
    <row r="942">
      <c r="A942" s="34" t="n"/>
      <c r="B942" s="34" t="n"/>
      <c r="C942" s="34" t="n"/>
      <c r="K942" s="37" t="n"/>
      <c r="L942" s="37" t="n"/>
    </row>
    <row r="943">
      <c r="A943" s="34" t="n"/>
      <c r="B943" s="34" t="n"/>
      <c r="C943" s="34" t="n"/>
      <c r="K943" s="37" t="n"/>
      <c r="L943" s="37" t="n"/>
    </row>
    <row r="944">
      <c r="A944" s="34" t="n"/>
      <c r="B944" s="34" t="n"/>
      <c r="C944" s="34" t="n"/>
      <c r="K944" s="37" t="n"/>
      <c r="L944" s="37" t="n"/>
    </row>
    <row r="945">
      <c r="A945" s="34" t="n"/>
      <c r="B945" s="34" t="n"/>
      <c r="C945" s="34" t="n"/>
      <c r="K945" s="37" t="n"/>
      <c r="L945" s="37" t="n"/>
    </row>
    <row r="946">
      <c r="A946" s="34" t="n"/>
      <c r="B946" s="34" t="n"/>
      <c r="C946" s="34" t="n"/>
      <c r="K946" s="37" t="n"/>
      <c r="L946" s="37" t="n"/>
    </row>
    <row r="947">
      <c r="A947" s="34" t="n"/>
      <c r="B947" s="34" t="n"/>
      <c r="C947" s="34" t="n"/>
      <c r="K947" s="37" t="n"/>
      <c r="L947" s="37" t="n"/>
    </row>
    <row r="948">
      <c r="A948" s="34" t="n"/>
      <c r="B948" s="34" t="n"/>
      <c r="C948" s="34" t="n"/>
      <c r="K948" s="37" t="n"/>
      <c r="L948" s="37" t="n"/>
    </row>
    <row r="949">
      <c r="A949" s="34" t="n"/>
      <c r="B949" s="34" t="n"/>
      <c r="C949" s="34" t="n"/>
      <c r="K949" s="37" t="n"/>
      <c r="L949" s="37" t="n"/>
    </row>
    <row r="950">
      <c r="A950" s="34" t="n"/>
      <c r="B950" s="34" t="n"/>
      <c r="C950" s="34" t="n"/>
      <c r="K950" s="37" t="n"/>
      <c r="L950" s="37" t="n"/>
    </row>
    <row r="951">
      <c r="A951" s="34" t="n"/>
      <c r="B951" s="34" t="n"/>
      <c r="C951" s="34" t="n"/>
      <c r="K951" s="37" t="n"/>
      <c r="L951" s="37" t="n"/>
    </row>
    <row r="952">
      <c r="A952" s="34" t="n"/>
      <c r="B952" s="34" t="n"/>
      <c r="C952" s="34" t="n"/>
      <c r="K952" s="37" t="n"/>
      <c r="L952" s="37" t="n"/>
    </row>
    <row r="953">
      <c r="A953" s="34" t="n"/>
      <c r="B953" s="34" t="n"/>
      <c r="C953" s="34" t="n"/>
      <c r="K953" s="37" t="n"/>
      <c r="L953" s="37" t="n"/>
    </row>
    <row r="954">
      <c r="A954" s="34" t="n"/>
      <c r="B954" s="34" t="n"/>
      <c r="C954" s="34" t="n"/>
      <c r="K954" s="37" t="n"/>
      <c r="L954" s="37" t="n"/>
    </row>
    <row r="955">
      <c r="A955" s="34" t="n"/>
      <c r="B955" s="34" t="n"/>
      <c r="C955" s="34" t="n"/>
      <c r="K955" s="37" t="n"/>
      <c r="L955" s="37" t="n"/>
    </row>
    <row r="956">
      <c r="A956" s="34" t="n"/>
      <c r="B956" s="34" t="n"/>
      <c r="C956" s="34" t="n"/>
      <c r="K956" s="37" t="n"/>
      <c r="L956" s="37" t="n"/>
    </row>
    <row r="957">
      <c r="A957" s="34" t="n"/>
      <c r="B957" s="34" t="n"/>
      <c r="C957" s="34" t="n"/>
      <c r="K957" s="37" t="n"/>
      <c r="L957" s="37" t="n"/>
    </row>
    <row r="958">
      <c r="A958" s="34" t="n"/>
      <c r="B958" s="34" t="n"/>
      <c r="C958" s="34" t="n"/>
      <c r="K958" s="37" t="n"/>
      <c r="L958" s="37" t="n"/>
    </row>
    <row r="959">
      <c r="A959" s="34" t="n"/>
      <c r="B959" s="34" t="n"/>
      <c r="C959" s="34" t="n"/>
      <c r="K959" s="37" t="n"/>
      <c r="L959" s="37" t="n"/>
    </row>
    <row r="960">
      <c r="A960" s="34" t="n"/>
      <c r="B960" s="34" t="n"/>
      <c r="C960" s="34" t="n"/>
      <c r="K960" s="37" t="n"/>
      <c r="L960" s="37" t="n"/>
    </row>
    <row r="961">
      <c r="A961" s="34" t="n"/>
      <c r="B961" s="34" t="n"/>
      <c r="C961" s="34" t="n"/>
      <c r="K961" s="37" t="n"/>
      <c r="L961" s="37" t="n"/>
    </row>
    <row r="962">
      <c r="A962" s="34" t="n"/>
      <c r="B962" s="34" t="n"/>
      <c r="C962" s="34" t="n"/>
      <c r="K962" s="37" t="n"/>
      <c r="L962" s="37" t="n"/>
    </row>
    <row r="963">
      <c r="A963" s="34" t="n"/>
      <c r="B963" s="34" t="n"/>
      <c r="C963" s="34" t="n"/>
      <c r="K963" s="37" t="n"/>
      <c r="L963" s="37" t="n"/>
    </row>
    <row r="964">
      <c r="A964" s="34" t="n"/>
      <c r="B964" s="34" t="n"/>
      <c r="C964" s="34" t="n"/>
      <c r="K964" s="37" t="n"/>
      <c r="L964" s="37" t="n"/>
    </row>
    <row r="965">
      <c r="A965" s="34" t="n"/>
      <c r="B965" s="34" t="n"/>
      <c r="C965" s="34" t="n"/>
      <c r="K965" s="37" t="n"/>
      <c r="L965" s="37" t="n"/>
    </row>
    <row r="966">
      <c r="A966" s="34" t="n"/>
      <c r="B966" s="34" t="n"/>
      <c r="C966" s="34" t="n"/>
      <c r="K966" s="37" t="n"/>
      <c r="L966" s="37" t="n"/>
    </row>
    <row r="967">
      <c r="A967" s="34" t="n"/>
      <c r="B967" s="34" t="n"/>
      <c r="C967" s="34" t="n"/>
      <c r="K967" s="37" t="n"/>
      <c r="L967" s="37" t="n"/>
    </row>
    <row r="968">
      <c r="A968" s="34" t="n"/>
      <c r="B968" s="34" t="n"/>
      <c r="C968" s="34" t="n"/>
      <c r="K968" s="37" t="n"/>
      <c r="L968" s="37" t="n"/>
    </row>
    <row r="969">
      <c r="A969" s="34" t="n"/>
      <c r="B969" s="34" t="n"/>
      <c r="C969" s="34" t="n"/>
      <c r="K969" s="37" t="n"/>
      <c r="L969" s="37" t="n"/>
    </row>
    <row r="970">
      <c r="A970" s="34" t="n"/>
      <c r="B970" s="34" t="n"/>
      <c r="C970" s="34" t="n"/>
      <c r="K970" s="37" t="n"/>
      <c r="L970" s="37" t="n"/>
    </row>
    <row r="971">
      <c r="A971" s="34" t="n"/>
      <c r="B971" s="34" t="n"/>
      <c r="C971" s="34" t="n"/>
      <c r="K971" s="37" t="n"/>
      <c r="L971" s="37" t="n"/>
    </row>
    <row r="972">
      <c r="A972" s="34" t="n"/>
      <c r="B972" s="34" t="n"/>
      <c r="C972" s="34" t="n"/>
      <c r="K972" s="37" t="n"/>
      <c r="L972" s="37" t="n"/>
    </row>
    <row r="973">
      <c r="A973" s="34" t="n"/>
      <c r="B973" s="34" t="n"/>
      <c r="C973" s="34" t="n"/>
      <c r="K973" s="37" t="n"/>
      <c r="L973" s="37" t="n"/>
    </row>
    <row r="974">
      <c r="A974" s="34" t="n"/>
      <c r="B974" s="34" t="n"/>
      <c r="C974" s="34" t="n"/>
      <c r="K974" s="37" t="n"/>
      <c r="L974" s="37" t="n"/>
    </row>
    <row r="975">
      <c r="A975" s="34" t="n"/>
      <c r="B975" s="34" t="n"/>
      <c r="C975" s="34" t="n"/>
      <c r="K975" s="37" t="n"/>
      <c r="L975" s="37" t="n"/>
    </row>
    <row r="976">
      <c r="A976" s="34" t="n"/>
      <c r="B976" s="34" t="n"/>
      <c r="C976" s="34" t="n"/>
      <c r="K976" s="37" t="n"/>
      <c r="L976" s="37" t="n"/>
    </row>
    <row r="977">
      <c r="A977" s="34" t="n"/>
      <c r="B977" s="34" t="n"/>
      <c r="C977" s="34" t="n"/>
      <c r="K977" s="37" t="n"/>
      <c r="L977" s="37" t="n"/>
    </row>
    <row r="978">
      <c r="A978" s="34" t="n"/>
      <c r="B978" s="34" t="n"/>
      <c r="C978" s="34" t="n"/>
      <c r="K978" s="37" t="n"/>
      <c r="L978" s="37" t="n"/>
    </row>
    <row r="979">
      <c r="A979" s="34" t="n"/>
      <c r="B979" s="34" t="n"/>
      <c r="C979" s="34" t="n"/>
      <c r="K979" s="37" t="n"/>
      <c r="L979" s="37" t="n"/>
    </row>
    <row r="980">
      <c r="A980" s="34" t="n"/>
      <c r="B980" s="34" t="n"/>
      <c r="C980" s="34" t="n"/>
      <c r="K980" s="37" t="n"/>
      <c r="L980" s="37" t="n"/>
    </row>
    <row r="981">
      <c r="A981" s="34" t="n"/>
      <c r="B981" s="34" t="n"/>
      <c r="C981" s="34" t="n"/>
      <c r="K981" s="37" t="n"/>
      <c r="L981" s="37" t="n"/>
    </row>
    <row r="982">
      <c r="A982" s="34" t="n"/>
      <c r="B982" s="34" t="n"/>
      <c r="C982" s="34" t="n"/>
      <c r="K982" s="37" t="n"/>
      <c r="L982" s="37" t="n"/>
    </row>
    <row r="983">
      <c r="A983" s="34" t="n"/>
      <c r="B983" s="34" t="n"/>
      <c r="C983" s="34" t="n"/>
      <c r="K983" s="37" t="n"/>
      <c r="L983" s="37" t="n"/>
    </row>
    <row r="984">
      <c r="A984" s="34" t="n"/>
      <c r="B984" s="34" t="n"/>
      <c r="C984" s="34" t="n"/>
      <c r="K984" s="37" t="n"/>
      <c r="L984" s="37" t="n"/>
    </row>
    <row r="985">
      <c r="A985" s="34" t="n"/>
      <c r="B985" s="34" t="n"/>
      <c r="C985" s="34" t="n"/>
      <c r="K985" s="37" t="n"/>
      <c r="L985" s="37" t="n"/>
    </row>
    <row r="986">
      <c r="A986" s="34" t="n"/>
      <c r="B986" s="34" t="n"/>
      <c r="C986" s="34" t="n"/>
      <c r="K986" s="37" t="n"/>
      <c r="L986" s="37" t="n"/>
    </row>
    <row r="987">
      <c r="A987" s="34" t="n"/>
      <c r="B987" s="34" t="n"/>
      <c r="C987" s="34" t="n"/>
      <c r="K987" s="37" t="n"/>
      <c r="L987" s="37" t="n"/>
    </row>
    <row r="988">
      <c r="A988" s="34" t="n"/>
      <c r="B988" s="34" t="n"/>
      <c r="C988" s="34" t="n"/>
      <c r="K988" s="37" t="n"/>
      <c r="L988" s="37" t="n"/>
    </row>
    <row r="989">
      <c r="A989" s="34" t="n"/>
      <c r="B989" s="34" t="n"/>
      <c r="C989" s="34" t="n"/>
      <c r="K989" s="37" t="n"/>
      <c r="L989" s="37" t="n"/>
    </row>
    <row r="990">
      <c r="A990" s="34" t="n"/>
      <c r="B990" s="34" t="n"/>
      <c r="C990" s="34" t="n"/>
      <c r="K990" s="37" t="n"/>
      <c r="L990" s="37" t="n"/>
    </row>
    <row r="991">
      <c r="A991" s="34" t="n"/>
      <c r="B991" s="34" t="n"/>
      <c r="C991" s="34" t="n"/>
      <c r="K991" s="37" t="n"/>
      <c r="L991" s="37" t="n"/>
    </row>
    <row r="992">
      <c r="A992" s="34" t="n"/>
      <c r="B992" s="34" t="n"/>
      <c r="C992" s="34" t="n"/>
      <c r="K992" s="37" t="n"/>
      <c r="L992" s="37" t="n"/>
    </row>
    <row r="993">
      <c r="A993" s="34" t="n"/>
      <c r="B993" s="34" t="n"/>
      <c r="C993" s="34" t="n"/>
      <c r="K993" s="37" t="n"/>
      <c r="L993" s="37" t="n"/>
    </row>
    <row r="994">
      <c r="A994" s="34" t="n"/>
      <c r="B994" s="34" t="n"/>
      <c r="C994" s="34" t="n"/>
      <c r="K994" s="37" t="n"/>
      <c r="L994" s="37" t="n"/>
    </row>
    <row r="995">
      <c r="A995" s="34" t="n"/>
      <c r="B995" s="34" t="n"/>
      <c r="C995" s="34" t="n"/>
      <c r="K995" s="37" t="n"/>
      <c r="L995" s="37" t="n"/>
    </row>
    <row r="996">
      <c r="A996" s="34" t="n"/>
      <c r="B996" s="34" t="n"/>
      <c r="C996" s="34" t="n"/>
      <c r="K996" s="37" t="n"/>
      <c r="L996" s="37" t="n"/>
    </row>
    <row r="997">
      <c r="A997" s="34" t="n"/>
      <c r="B997" s="34" t="n"/>
      <c r="C997" s="34" t="n"/>
      <c r="K997" s="37" t="n"/>
      <c r="L997" s="37" t="n"/>
    </row>
    <row r="998">
      <c r="A998" s="34" t="n"/>
      <c r="B998" s="34" t="n"/>
      <c r="C998" s="34" t="n"/>
      <c r="K998" s="37" t="n"/>
      <c r="L998" s="37" t="n"/>
    </row>
    <row r="999">
      <c r="A999" s="34" t="n"/>
      <c r="B999" s="34" t="n"/>
      <c r="C999" s="34" t="n"/>
      <c r="K999" s="37" t="n"/>
      <c r="L999" s="37" t="n"/>
    </row>
    <row r="1000">
      <c r="A1000" s="34" t="n"/>
      <c r="B1000" s="34" t="n"/>
      <c r="C1000" s="34" t="n"/>
      <c r="K1000" s="37" t="n"/>
      <c r="L1000" s="37" t="n"/>
    </row>
    <row r="1001">
      <c r="A1001" s="34" t="n"/>
      <c r="B1001" s="34" t="n"/>
      <c r="C1001" s="34" t="n"/>
      <c r="K1001" s="37" t="n"/>
      <c r="L1001" s="37" t="n"/>
    </row>
    <row r="1002">
      <c r="A1002" s="34" t="n"/>
      <c r="B1002" s="34" t="n"/>
      <c r="C1002" s="34" t="n"/>
      <c r="K1002" s="37" t="n"/>
      <c r="L1002" s="37" t="n"/>
    </row>
    <row r="1003">
      <c r="A1003" s="34" t="n"/>
      <c r="B1003" s="34" t="n"/>
      <c r="C1003" s="34" t="n"/>
      <c r="K1003" s="37" t="n"/>
      <c r="L1003" s="37" t="n"/>
    </row>
    <row r="1004">
      <c r="A1004" s="34" t="n"/>
      <c r="B1004" s="34" t="n"/>
      <c r="C1004" s="34" t="n"/>
      <c r="K1004" s="37" t="n"/>
      <c r="L1004" s="37" t="n"/>
    </row>
    <row r="1005">
      <c r="A1005" s="34" t="n"/>
      <c r="B1005" s="34" t="n"/>
      <c r="C1005" s="34" t="n"/>
      <c r="K1005" s="37" t="n"/>
      <c r="L1005" s="37" t="n"/>
    </row>
  </sheetData>
  <pageMargins left="0.75" right="0.75" top="1" bottom="1" header="0.5" footer="0.5"/>
</worksheet>
</file>

<file path=xl/worksheets/sheet6.xml><?xml version="1.0" encoding="utf-8"?>
<worksheet xmlns="http://schemas.openxmlformats.org/spreadsheetml/2006/main">
  <sheetPr>
    <outlinePr summaryBelow="0" summaryRight="0"/>
    <pageSetUpPr/>
  </sheetPr>
  <dimension ref="A1:U977"/>
  <sheetViews>
    <sheetView workbookViewId="0">
      <selection activeCell="A1" sqref="A1"/>
    </sheetView>
  </sheetViews>
  <sheetFormatPr baseColWidth="8" defaultColWidth="12.63" defaultRowHeight="15.75" customHeight="1"/>
  <cols>
    <col width="30.13" customWidth="1" style="41" min="4" max="4"/>
    <col width="22.75" customWidth="1" style="41" min="5" max="5"/>
    <col width="35" customWidth="1" style="41" min="6" max="6"/>
  </cols>
  <sheetData>
    <row r="1">
      <c r="A1" s="37" t="inlineStr">
        <is>
          <t>Symbol</t>
        </is>
      </c>
      <c r="B1" s="35" t="inlineStr">
        <is>
          <t>Theme</t>
        </is>
      </c>
      <c r="C1" s="35" t="inlineStr">
        <is>
          <t>first call X kol</t>
        </is>
      </c>
      <c r="D1" s="36" t="inlineStr">
        <is>
          <t>first call x post</t>
        </is>
      </c>
      <c r="E1" s="37" t="inlineStr">
        <is>
          <t>first call date</t>
        </is>
      </c>
      <c r="F1" s="37" t="inlineStr">
        <is>
          <t>top contributor</t>
        </is>
      </c>
      <c r="G1" s="37" t="inlineStr">
        <is>
          <t>top investment thesis post</t>
        </is>
      </c>
      <c r="H1" s="27" t="inlineStr">
        <is>
          <t>performance Year to Date</t>
        </is>
      </c>
      <c r="I1" s="37" t="n"/>
      <c r="J1" s="37" t="n"/>
      <c r="K1" s="37" t="n"/>
      <c r="L1" s="37" t="n"/>
      <c r="M1" s="37" t="n"/>
      <c r="N1" s="37" t="n"/>
      <c r="O1" s="37" t="n"/>
      <c r="P1" s="37" t="n"/>
      <c r="Q1" s="37" t="n"/>
      <c r="R1" s="37" t="n"/>
      <c r="S1" s="37" t="n"/>
      <c r="T1" s="37" t="n"/>
      <c r="U1" s="37" t="n"/>
    </row>
    <row r="2">
      <c r="A2" s="23" t="inlineStr">
        <is>
          <t>GDRZF</t>
        </is>
      </c>
      <c r="B2" s="23" t="inlineStr">
        <is>
          <t>Venezula</t>
        </is>
      </c>
      <c r="C2" s="23" t="inlineStr">
        <is>
          <t>https://x.com/LionelHutz_Esq</t>
        </is>
      </c>
      <c r="D2" s="23" t="inlineStr">
        <is>
          <t>https://x.com/LionelHutz_Esq/status/1817837593326715216</t>
        </is>
      </c>
      <c r="E2" s="40" t="n">
        <v>45497</v>
      </c>
      <c r="F2" s="23" t="inlineStr">
        <is>
          <t>https://x.com/aleabitoreddit</t>
        </is>
      </c>
      <c r="G2" s="26" t="inlineStr">
        <is>
          <t>https://x.com/aleabitoreddit/status/2007758407948788162</t>
        </is>
      </c>
      <c r="H2" s="26" t="n">
        <v>1.916666666666667</v>
      </c>
    </row>
    <row r="3">
      <c r="A3" s="23" t="inlineStr">
        <is>
          <t>AAOI</t>
        </is>
      </c>
      <c r="B3" s="23" t="inlineStr">
        <is>
          <t>Photonics</t>
        </is>
      </c>
      <c r="C3" s="23" t="inlineStr">
        <is>
          <t>https://x.com/Venu_7_</t>
        </is>
      </c>
      <c r="D3" s="23" t="inlineStr">
        <is>
          <t>https://x.com/Venu_7_/status/1953557794030072164</t>
        </is>
      </c>
      <c r="E3" s="40" t="n">
        <v>45877</v>
      </c>
      <c r="F3" s="23" t="inlineStr">
        <is>
          <t>https://x.com/crux_capital_</t>
        </is>
      </c>
      <c r="G3" s="26" t="n"/>
      <c r="H3" s="26" t="n">
        <v>1.413636363636364</v>
      </c>
    </row>
    <row r="4">
      <c r="A4" s="23" t="inlineStr">
        <is>
          <t>ALM</t>
        </is>
      </c>
      <c r="B4" s="23" t="n"/>
      <c r="C4" s="23" t="inlineStr">
        <is>
          <t>https://x.com/Alexsei88</t>
        </is>
      </c>
      <c r="E4" s="39" t="n"/>
      <c r="F4" s="23" t="inlineStr">
        <is>
          <t>https://x.com/Alexsei88</t>
        </is>
      </c>
      <c r="G4" s="26" t="n"/>
      <c r="H4" s="26" t="n">
        <v>1.127272727272727</v>
      </c>
    </row>
    <row r="5">
      <c r="A5" s="23" t="inlineStr">
        <is>
          <t>PSRHF</t>
        </is>
      </c>
      <c r="B5" s="23" t="inlineStr">
        <is>
          <t>Helium 3</t>
        </is>
      </c>
      <c r="C5" s="23" t="inlineStr">
        <is>
          <t>https://x.com/Minnvestor</t>
        </is>
      </c>
      <c r="D5" s="23" t="inlineStr">
        <is>
          <t>https://x.com/Minnvestor/status/1851698973821513794</t>
        </is>
      </c>
      <c r="E5" s="39" t="n">
        <v>45596</v>
      </c>
      <c r="F5" s="23" t="inlineStr">
        <is>
          <t>https://x.com/Share_Talk</t>
        </is>
      </c>
      <c r="G5" s="26" t="n"/>
      <c r="H5" s="26" t="n">
        <v>0.9838709677419355</v>
      </c>
    </row>
    <row r="6">
      <c r="A6" s="23" t="inlineStr">
        <is>
          <t>FSLY</t>
        </is>
      </c>
      <c r="B6" s="23" t="n"/>
      <c r="C6" s="23" t="inlineStr">
        <is>
          <t>https://x.com/Analytica_X</t>
        </is>
      </c>
      <c r="D6" s="23" t="inlineStr">
        <is>
          <t>https://x.com/Analytica_X/status/1987496343699370285</t>
        </is>
      </c>
      <c r="E6" s="40" t="n">
        <v>45970</v>
      </c>
      <c r="F6" s="23" t="inlineStr">
        <is>
          <t>https://x.com/adudetrading</t>
        </is>
      </c>
      <c r="G6" s="26" t="n"/>
      <c r="H6" s="26" t="n">
        <v>0.9764474975466144</v>
      </c>
    </row>
    <row r="7">
      <c r="A7" s="23" t="inlineStr">
        <is>
          <t>ICHR</t>
        </is>
      </c>
      <c r="B7" s="23" t="n"/>
      <c r="C7" s="23" t="inlineStr">
        <is>
          <t>https://x.com/TheValueist</t>
        </is>
      </c>
      <c r="D7" s="23" t="inlineStr">
        <is>
          <t>https://x.com/TheValueist/status/1953608927293153628</t>
        </is>
      </c>
      <c r="E7" s="40" t="n">
        <v>45877</v>
      </c>
      <c r="F7" s="23" t="inlineStr">
        <is>
          <t>https://x.com/TheValueist</t>
        </is>
      </c>
      <c r="G7" s="26" t="inlineStr">
        <is>
          <t>https://x.com/TheValueist/status/2021608497046036807</t>
        </is>
      </c>
      <c r="H7" s="26" t="n">
        <v>0.9608035276825087</v>
      </c>
    </row>
    <row r="8">
      <c r="A8" s="23" t="inlineStr">
        <is>
          <t>AXTI</t>
        </is>
      </c>
      <c r="B8" s="23" t="inlineStr">
        <is>
          <t>Photonics</t>
        </is>
      </c>
      <c r="C8" s="23" t="inlineStr">
        <is>
          <t>https://x.com/YieldCurveBalI</t>
        </is>
      </c>
      <c r="D8" s="23" t="inlineStr">
        <is>
          <t>https://x.com/YieldCurveBalI/status/1906717314575397222</t>
        </is>
      </c>
      <c r="E8" s="40" t="n">
        <v>45747</v>
      </c>
      <c r="F8" s="23" t="inlineStr">
        <is>
          <t>https://x.com/aleabitoreddit</t>
        </is>
      </c>
      <c r="G8" s="23" t="inlineStr">
        <is>
          <t>https://x.com/BankofVol/status/2009707687693451596</t>
        </is>
      </c>
      <c r="H8" s="26" t="n">
        <v>0.9313842482100236</v>
      </c>
    </row>
    <row r="9">
      <c r="A9" s="23" t="inlineStr">
        <is>
          <t>ATOM</t>
        </is>
      </c>
      <c r="B9" s="23" t="n"/>
      <c r="C9" s="23" t="inlineStr">
        <is>
          <t>https://x.com/Analytica_X</t>
        </is>
      </c>
      <c r="D9" s="23" t="inlineStr">
        <is>
          <t>https://x.com/Analytica_X/status/1949458210932326732</t>
        </is>
      </c>
      <c r="E9" s="40" t="n">
        <v>45863</v>
      </c>
      <c r="F9" s="23" t="inlineStr">
        <is>
          <t>https://x.com/Thebullwhisper</t>
        </is>
      </c>
      <c r="G9" s="26" t="n"/>
      <c r="H9" s="26" t="n">
        <v>0.9237288135593222</v>
      </c>
    </row>
    <row r="10">
      <c r="A10" s="23" t="inlineStr">
        <is>
          <t>AMPX</t>
        </is>
      </c>
      <c r="B10" s="23" t="inlineStr">
        <is>
          <t>Battery</t>
        </is>
      </c>
      <c r="C10" s="23" t="inlineStr">
        <is>
          <t>https://x.com/DekmarTrades</t>
        </is>
      </c>
      <c r="D10" s="23" t="inlineStr">
        <is>
          <t>https://x.com/DekmarTrades/status/1970455842924437675</t>
        </is>
      </c>
      <c r="E10" s="40" t="n">
        <v>45923</v>
      </c>
      <c r="F10" s="23" t="inlineStr">
        <is>
          <t>https://x.com/pennycheck</t>
        </is>
      </c>
      <c r="G10" s="26" t="n"/>
      <c r="H10" s="26" t="n">
        <v>0.8684210526315788</v>
      </c>
    </row>
    <row r="11">
      <c r="A11" s="23" t="inlineStr">
        <is>
          <t>UCTT</t>
        </is>
      </c>
      <c r="B11" s="23" t="n"/>
      <c r="C11" s="23" t="inlineStr">
        <is>
          <t>https://x.com/Clayhams1</t>
        </is>
      </c>
      <c r="D11" s="23" t="inlineStr">
        <is>
          <t>https://x.com/Clayhams1/status/1978636447025705213</t>
        </is>
      </c>
      <c r="E11" s="40" t="n">
        <v>45946</v>
      </c>
      <c r="F11" s="23" t="inlineStr">
        <is>
          <t>https://x.com/DeNebulord</t>
        </is>
      </c>
      <c r="G11" s="26" t="inlineStr">
        <is>
          <t>https://x.com/DeNebulord/status/2013008329027502438</t>
        </is>
      </c>
      <c r="H11" s="26" t="n">
        <v>0.8506588579795022</v>
      </c>
    </row>
    <row r="12">
      <c r="H12" s="26" t="n"/>
    </row>
    <row r="13">
      <c r="A13" s="23" t="inlineStr">
        <is>
          <t>AMPX</t>
        </is>
      </c>
      <c r="B13" s="23" t="inlineStr">
        <is>
          <t>Battery</t>
        </is>
      </c>
      <c r="C13" s="4" t="inlineStr">
        <is>
          <t>https://x.com/DekmarTrades</t>
        </is>
      </c>
      <c r="D13" s="4" t="inlineStr">
        <is>
          <t>https://x.com/DekmarTrades/status/1970455842924437675</t>
        </is>
      </c>
      <c r="E13" s="40" t="n">
        <v>45923</v>
      </c>
      <c r="F13" s="4" t="inlineStr">
        <is>
          <t>https://x.com/pennycheck</t>
        </is>
      </c>
      <c r="G13" s="23" t="n"/>
      <c r="H13" s="36">
        <f>IFERROR(__xludf.DUMMYFUNCTION("((GOOGLEFINANCE(A13, ""price"") / INDEX(GOOGLEFINANCE(A13, ""close"", TODAY()-7), 2, 2)) - 1 )
"),0.012979683972911937)</f>
        <v/>
      </c>
    </row>
    <row r="14">
      <c r="A14" s="23" t="inlineStr">
        <is>
          <t>GEMI</t>
        </is>
      </c>
      <c r="B14" s="23" t="inlineStr">
        <is>
          <t>Crypto</t>
        </is>
      </c>
      <c r="C14" s="5" t="inlineStr">
        <is>
          <t>https://x.com/LizClaman</t>
        </is>
      </c>
      <c r="D14" s="4" t="inlineStr">
        <is>
          <t>https://x.com/LizClaman/status/1966530494159368440</t>
        </is>
      </c>
      <c r="E14" s="40" t="n">
        <v>45912</v>
      </c>
      <c r="F14" s="4" t="inlineStr">
        <is>
          <t>https://x.com/TipRanks</t>
        </is>
      </c>
      <c r="G14" s="4" t="inlineStr">
        <is>
          <t>https://x.com/LaMonicaBuzz/status/1975635080484954184</t>
        </is>
      </c>
      <c r="H14" s="36">
        <f>IFERROR(__xludf.DUMMYFUNCTION("((GOOGLEFINANCE(A14, ""price"") / INDEX(GOOGLEFINANCE(A14, ""close"", TODAY()-7), 2, 2)) - 1 )
"),-0.10907003444316887)</f>
        <v/>
      </c>
    </row>
    <row r="15">
      <c r="A15" s="23" t="inlineStr">
        <is>
          <t>GDRZF</t>
        </is>
      </c>
      <c r="B15" s="23" t="inlineStr">
        <is>
          <t>Venezula</t>
        </is>
      </c>
      <c r="C15" s="4" t="inlineStr">
        <is>
          <t>https://x.com/LionelHutz_Esq</t>
        </is>
      </c>
      <c r="D15" s="5" t="inlineStr">
        <is>
          <t>https://x.com/LionelHutz_Esq/status/1817837593326715216</t>
        </is>
      </c>
      <c r="E15" s="40" t="n">
        <v>45497</v>
      </c>
      <c r="F15" s="4" t="inlineStr">
        <is>
          <t>https://x.com/aleabitoreddit</t>
        </is>
      </c>
      <c r="G15" s="5" t="inlineStr">
        <is>
          <t>https://x.com/aleabitoreddit/status/2007758407948788162</t>
        </is>
      </c>
      <c r="H15" s="36">
        <f>IFERROR(__xludf.DUMMYFUNCTION("((GOOGLEFINANCE(A15, ""price"") / INDEX(GOOGLEFINANCE(A15, ""close"", TODAY()-7), 2, 2)) - 1 )
"),-0.07335907335907332)</f>
        <v/>
      </c>
    </row>
    <row r="16">
      <c r="A16" s="23" t="inlineStr">
        <is>
          <t>LEXX</t>
        </is>
      </c>
      <c r="C16" s="5" t="inlineStr">
        <is>
          <t>https://x.com/wa7ermelon</t>
        </is>
      </c>
      <c r="F16" s="5" t="inlineStr">
        <is>
          <t>https://x.com/BarnyardBull72</t>
        </is>
      </c>
      <c r="H16" s="36">
        <f>IFERROR(__xludf.DUMMYFUNCTION("((GOOGLEFINANCE(A16, ""price"") / INDEX(GOOGLEFINANCE(A16, ""close"", TODAY()-7), 2, 2)) - 1 )
"),-0.04109589041095896)</f>
        <v/>
      </c>
    </row>
    <row r="17">
      <c r="A17" s="23" t="inlineStr">
        <is>
          <t>UMAC</t>
        </is>
      </c>
      <c r="B17" s="23" t="inlineStr">
        <is>
          <t>Drone</t>
        </is>
      </c>
      <c r="C17" s="4" t="inlineStr">
        <is>
          <t>https://x.com/thehustlebrosyt</t>
        </is>
      </c>
      <c r="D17" s="4" t="inlineStr">
        <is>
          <t>https://x.com/thehustlebrosyt/status/1961530309767282712</t>
        </is>
      </c>
      <c r="E17" s="40" t="n">
        <v>45899</v>
      </c>
      <c r="F17" s="4" t="inlineStr">
        <is>
          <t>https://x.com/fundmyfund</t>
        </is>
      </c>
      <c r="G17" s="4" t="inlineStr">
        <is>
          <t>https://x.com/fundmyfund/status/2012854663607898179?s=20</t>
        </is>
      </c>
      <c r="H17" s="36">
        <f>IFERROR(__xludf.DUMMYFUNCTION("((GOOGLEFINANCE(A17, ""price"") / INDEX(GOOGLEFINANCE(A17, ""close"", TODAY()-7), 2, 2)) - 1 )
"),0.18055555555555536)</f>
        <v/>
      </c>
    </row>
    <row r="18">
      <c r="A18" s="23" t="inlineStr">
        <is>
          <t>RCAT</t>
        </is>
      </c>
      <c r="B18" s="23" t="inlineStr">
        <is>
          <t>Drone</t>
        </is>
      </c>
      <c r="C18" s="4" t="inlineStr">
        <is>
          <t>https://x.com/itech_analyst</t>
        </is>
      </c>
      <c r="D18" s="4" t="inlineStr">
        <is>
          <t>https://x.com/itech_analyst/status/1838611381639172150</t>
        </is>
      </c>
      <c r="E18" s="40" t="n">
        <v>45559</v>
      </c>
      <c r="F18" s="4" t="inlineStr">
        <is>
          <t>https://x.com/TheValueist</t>
        </is>
      </c>
      <c r="G18" s="4" t="inlineStr">
        <is>
          <t>https://x.com/TheValueist/status/2009687551272210617</t>
        </is>
      </c>
      <c r="H18" s="36">
        <f>IFERROR(__xludf.DUMMYFUNCTION("((GOOGLEFINANCE(A18, ""price"") / INDEX(GOOGLEFINANCE(A18, ""close"", TODAY()-7), 2, 2)) - 1 )
"),0.12482269503546095)</f>
        <v/>
      </c>
    </row>
    <row r="19">
      <c r="A19" s="23" t="inlineStr">
        <is>
          <t>PATH</t>
        </is>
      </c>
      <c r="B19" s="23" t="inlineStr">
        <is>
          <t>AI Agent</t>
        </is>
      </c>
      <c r="C19" s="4" t="inlineStr">
        <is>
          <t>https://x.com/Venu_7_</t>
        </is>
      </c>
      <c r="D19" s="4" t="inlineStr">
        <is>
          <t>https://x.com/Venu_7_/status/1982459975210590675</t>
        </is>
      </c>
      <c r="E19" s="39" t="n">
        <v>45956</v>
      </c>
      <c r="F19" s="4" t="inlineStr">
        <is>
          <t>https://x.com/RedDogT3</t>
        </is>
      </c>
      <c r="G19" s="4" t="inlineStr">
        <is>
          <t>https://x.com/Venu_7_/status/1982459975210590675</t>
        </is>
      </c>
      <c r="H19" s="36">
        <f>IFERROR(__xludf.DUMMYFUNCTION("((GOOGLEFINANCE(A19, ""price"") / INDEX(GOOGLEFINANCE(A19, ""close"", TODAY()-7), 2, 2)) - 1 )
"),-0.03258145363408527)</f>
        <v/>
      </c>
    </row>
    <row r="20">
      <c r="A20" s="23" t="inlineStr">
        <is>
          <t>AVAV</t>
        </is>
      </c>
      <c r="B20" s="23" t="inlineStr">
        <is>
          <t>Drone</t>
        </is>
      </c>
      <c r="C20" s="4" t="inlineStr">
        <is>
          <t>https://x.com/TheValueist</t>
        </is>
      </c>
      <c r="D20" s="4" t="inlineStr">
        <is>
          <t>https://x.com/TheValueist/status/2009687481298321617</t>
        </is>
      </c>
      <c r="E20" s="40" t="n">
        <v>46031</v>
      </c>
      <c r="F20" s="4" t="inlineStr">
        <is>
          <t>https://x.com/TheValueist</t>
        </is>
      </c>
      <c r="G20" s="4" t="inlineStr">
        <is>
          <t>https://x.com/TheValueist/status/2009687481298321617</t>
        </is>
      </c>
      <c r="H20" s="36">
        <f>IFERROR(__xludf.DUMMYFUNCTION("((GOOGLEFINANCE(A20, ""price"") / INDEX(GOOGLEFINANCE(A20, ""close"", TODAY()-7), 2, 2)) - 1 )
"),-0.08896123894584007)</f>
        <v/>
      </c>
    </row>
    <row r="21">
      <c r="A21" s="23" t="inlineStr">
        <is>
          <t>INTT</t>
        </is>
      </c>
      <c r="C21" s="5" t="inlineStr">
        <is>
          <t>https://x.com/TentyTheToitle</t>
        </is>
      </c>
      <c r="D21" s="5" t="inlineStr">
        <is>
          <t>https://x.com/TentyTheToitle/status/1898062935542444477</t>
        </is>
      </c>
      <c r="E21" s="40" t="n">
        <v>45724</v>
      </c>
      <c r="F21" s="5" t="inlineStr">
        <is>
          <t>https://x.com/RobertMarcin</t>
        </is>
      </c>
      <c r="H21" s="36">
        <f>IFERROR(__xludf.DUMMYFUNCTION("((GOOGLEFINANCE(A21, ""price"") / INDEX(GOOGLEFINANCE(A21, ""close"", TODAY()-7), 2, 2)) - 1 )
"),0.027205882352941302)</f>
        <v/>
      </c>
    </row>
    <row r="22">
      <c r="A22" s="23" t="inlineStr">
        <is>
          <t>ZETA</t>
        </is>
      </c>
      <c r="B22" s="23" t="inlineStr">
        <is>
          <t>AI Agent</t>
        </is>
      </c>
      <c r="C22" s="4" t="inlineStr">
        <is>
          <t>https://x.com/TheRonnieVShow</t>
        </is>
      </c>
      <c r="D22" s="4" t="inlineStr">
        <is>
          <t>https://x.com/TheRonnieVShow/status/1936569653696074103</t>
        </is>
      </c>
      <c r="E22" s="40" t="n">
        <v>45829</v>
      </c>
      <c r="F22" s="4" t="inlineStr">
        <is>
          <t>https://x.com/MrMikeInvesting</t>
        </is>
      </c>
      <c r="G22" s="4" t="inlineStr">
        <is>
          <t>https://x.com/LeaderInvests/status/2011054315511710179</t>
        </is>
      </c>
      <c r="H22" s="36">
        <f>IFERROR(__xludf.DUMMYFUNCTION("((GOOGLEFINANCE(A22, ""price"") / INDEX(GOOGLEFINANCE(A22, ""close"", TODAY()-7), 2, 2)) - 1 )
"),-0.06498951781970641)</f>
        <v/>
      </c>
    </row>
    <row r="23">
      <c r="H23" s="36" t="n"/>
    </row>
    <row r="24">
      <c r="H24" s="26" t="n"/>
    </row>
    <row r="25">
      <c r="H25" s="26" t="n"/>
    </row>
    <row r="26">
      <c r="H26" s="26" t="n"/>
    </row>
    <row r="27">
      <c r="H27" s="26" t="n"/>
    </row>
    <row r="28">
      <c r="H28" s="26" t="n"/>
    </row>
    <row r="29">
      <c r="H29" s="26" t="n"/>
    </row>
    <row r="30">
      <c r="H30" s="26" t="n"/>
    </row>
    <row r="31">
      <c r="H31" s="26" t="n"/>
    </row>
    <row r="32">
      <c r="H32" s="26" t="n"/>
    </row>
    <row r="33">
      <c r="H33" s="26" t="n"/>
    </row>
    <row r="34">
      <c r="H34" s="26" t="n"/>
    </row>
    <row r="35">
      <c r="H35" s="26" t="n"/>
    </row>
    <row r="36">
      <c r="H36" s="26" t="n"/>
    </row>
    <row r="37">
      <c r="H37" s="26" t="n"/>
    </row>
    <row r="38">
      <c r="H38" s="26" t="n"/>
    </row>
    <row r="39">
      <c r="H39" s="26" t="n"/>
    </row>
    <row r="40">
      <c r="H40" s="26" t="n"/>
    </row>
    <row r="41">
      <c r="H41" s="26" t="n"/>
    </row>
    <row r="42">
      <c r="H42" s="26" t="n"/>
    </row>
    <row r="43">
      <c r="H43" s="26" t="n"/>
    </row>
    <row r="44">
      <c r="H44" s="26" t="n"/>
    </row>
    <row r="45">
      <c r="H45" s="26" t="n"/>
    </row>
    <row r="46">
      <c r="H46" s="26" t="n"/>
    </row>
    <row r="47">
      <c r="H47" s="26" t="n"/>
    </row>
    <row r="48">
      <c r="H48" s="26" t="n"/>
    </row>
    <row r="49">
      <c r="H49" s="26" t="n"/>
    </row>
    <row r="50">
      <c r="H50" s="26" t="n"/>
    </row>
    <row r="51">
      <c r="H51" s="26" t="n"/>
    </row>
    <row r="52">
      <c r="H52" s="26" t="n"/>
    </row>
    <row r="53">
      <c r="H53" s="26" t="n"/>
    </row>
    <row r="54">
      <c r="H54" s="26" t="n"/>
    </row>
    <row r="55">
      <c r="H55" s="26" t="n"/>
    </row>
    <row r="56">
      <c r="H56" s="26" t="n"/>
    </row>
    <row r="57">
      <c r="H57" s="26" t="n"/>
    </row>
    <row r="58">
      <c r="H58" s="26" t="n"/>
    </row>
    <row r="59">
      <c r="H59" s="26" t="n"/>
    </row>
    <row r="60">
      <c r="H60" s="26" t="n"/>
    </row>
    <row r="61">
      <c r="H61" s="26" t="n"/>
    </row>
    <row r="62">
      <c r="H62" s="26" t="n"/>
    </row>
    <row r="63">
      <c r="H63" s="26" t="n"/>
    </row>
    <row r="64">
      <c r="H64" s="26" t="n"/>
    </row>
    <row r="65">
      <c r="H65" s="26" t="n"/>
    </row>
    <row r="66">
      <c r="H66" s="26" t="n"/>
    </row>
    <row r="67">
      <c r="H67" s="26" t="n"/>
    </row>
    <row r="68">
      <c r="H68" s="26" t="n"/>
    </row>
    <row r="69">
      <c r="H69" s="26" t="n"/>
    </row>
    <row r="70">
      <c r="H70" s="26" t="n"/>
    </row>
    <row r="71">
      <c r="H71" s="26" t="n"/>
    </row>
    <row r="72">
      <c r="H72" s="26" t="n"/>
    </row>
    <row r="73">
      <c r="H73" s="26" t="n"/>
    </row>
    <row r="74">
      <c r="H74" s="26" t="n"/>
    </row>
    <row r="75">
      <c r="H75" s="26" t="n"/>
    </row>
    <row r="76">
      <c r="H76" s="26" t="n"/>
    </row>
    <row r="77">
      <c r="H77" s="26" t="n"/>
    </row>
    <row r="78">
      <c r="H78" s="26" t="n"/>
    </row>
    <row r="79">
      <c r="H79" s="26" t="n"/>
    </row>
    <row r="80">
      <c r="H80" s="26" t="n"/>
    </row>
    <row r="81">
      <c r="H81" s="26" t="n"/>
    </row>
    <row r="82">
      <c r="H82" s="26" t="n"/>
    </row>
    <row r="83">
      <c r="H83" s="26" t="n"/>
    </row>
    <row r="84">
      <c r="H84" s="26" t="n"/>
    </row>
    <row r="85">
      <c r="H85" s="26" t="n"/>
    </row>
    <row r="86">
      <c r="H86" s="26" t="n"/>
    </row>
    <row r="87">
      <c r="H87" s="26" t="n"/>
    </row>
    <row r="88">
      <c r="H88" s="26" t="n"/>
    </row>
    <row r="89">
      <c r="H89" s="26" t="n"/>
    </row>
    <row r="90">
      <c r="H90" s="26" t="n"/>
    </row>
    <row r="91">
      <c r="H91" s="26" t="n"/>
    </row>
    <row r="92">
      <c r="H92" s="26" t="n"/>
    </row>
    <row r="93">
      <c r="H93" s="26" t="n"/>
    </row>
    <row r="94">
      <c r="H94" s="26" t="n"/>
    </row>
    <row r="95">
      <c r="H95" s="26" t="n"/>
    </row>
    <row r="96">
      <c r="H96" s="26" t="n"/>
    </row>
    <row r="97">
      <c r="H97" s="26" t="n"/>
    </row>
    <row r="98">
      <c r="H98" s="26" t="n"/>
    </row>
    <row r="99">
      <c r="H99" s="26" t="n"/>
    </row>
    <row r="100">
      <c r="H100" s="26" t="n"/>
    </row>
    <row r="101">
      <c r="H101" s="26" t="n"/>
    </row>
    <row r="102">
      <c r="H102" s="26" t="n"/>
    </row>
    <row r="103">
      <c r="H103" s="26" t="n"/>
    </row>
    <row r="104">
      <c r="H104" s="26" t="n"/>
    </row>
    <row r="105">
      <c r="H105" s="26" t="n"/>
    </row>
    <row r="106">
      <c r="H106" s="26" t="n"/>
    </row>
    <row r="107">
      <c r="H107" s="26" t="n"/>
    </row>
    <row r="108">
      <c r="H108" s="26" t="n"/>
    </row>
    <row r="109">
      <c r="H109" s="26" t="n"/>
    </row>
    <row r="110">
      <c r="H110" s="26" t="n"/>
    </row>
    <row r="111">
      <c r="H111" s="26" t="n"/>
    </row>
    <row r="112">
      <c r="H112" s="26" t="n"/>
    </row>
    <row r="113">
      <c r="H113" s="26" t="n"/>
    </row>
    <row r="114">
      <c r="H114" s="26" t="n"/>
    </row>
    <row r="115">
      <c r="H115" s="26" t="n"/>
    </row>
    <row r="116">
      <c r="H116" s="26" t="n"/>
    </row>
    <row r="117">
      <c r="H117" s="26" t="n"/>
    </row>
    <row r="118">
      <c r="H118" s="26" t="n"/>
    </row>
    <row r="119">
      <c r="H119" s="26" t="n"/>
    </row>
    <row r="120">
      <c r="H120" s="26" t="n"/>
    </row>
    <row r="121">
      <c r="H121" s="26" t="n"/>
    </row>
    <row r="122">
      <c r="H122" s="26" t="n"/>
    </row>
    <row r="123">
      <c r="H123" s="26" t="n"/>
    </row>
    <row r="124">
      <c r="H124" s="26" t="n"/>
    </row>
    <row r="125">
      <c r="H125" s="26" t="n"/>
    </row>
    <row r="126">
      <c r="H126" s="26" t="n"/>
    </row>
    <row r="127">
      <c r="H127" s="26" t="n"/>
    </row>
    <row r="128">
      <c r="H128" s="26" t="n"/>
    </row>
    <row r="129">
      <c r="H129" s="26" t="n"/>
    </row>
    <row r="130">
      <c r="H130" s="26" t="n"/>
    </row>
    <row r="131">
      <c r="H131" s="26" t="n"/>
    </row>
    <row r="132">
      <c r="H132" s="26" t="n"/>
    </row>
    <row r="133">
      <c r="H133" s="26" t="n"/>
    </row>
    <row r="134">
      <c r="H134" s="26" t="n"/>
    </row>
    <row r="135">
      <c r="H135" s="26" t="n"/>
    </row>
    <row r="136">
      <c r="H136" s="26" t="n"/>
    </row>
    <row r="137">
      <c r="H137" s="26" t="n"/>
    </row>
    <row r="138">
      <c r="H138" s="26" t="n"/>
    </row>
    <row r="139">
      <c r="H139" s="26" t="n"/>
    </row>
    <row r="140">
      <c r="H140" s="26" t="n"/>
    </row>
    <row r="141">
      <c r="H141" s="26" t="n"/>
    </row>
    <row r="142">
      <c r="H142" s="26" t="n"/>
    </row>
    <row r="143">
      <c r="H143" s="26" t="n"/>
    </row>
    <row r="144">
      <c r="H144" s="26" t="n"/>
    </row>
    <row r="145">
      <c r="H145" s="26" t="n"/>
    </row>
    <row r="146">
      <c r="H146" s="26" t="n"/>
    </row>
    <row r="147">
      <c r="H147" s="26" t="n"/>
    </row>
    <row r="148">
      <c r="H148" s="26" t="n"/>
    </row>
    <row r="149">
      <c r="H149" s="26" t="n"/>
    </row>
    <row r="150">
      <c r="H150" s="26" t="n"/>
    </row>
    <row r="151">
      <c r="H151" s="26" t="n"/>
    </row>
    <row r="152">
      <c r="H152" s="26" t="n"/>
    </row>
    <row r="153">
      <c r="H153" s="26" t="n"/>
    </row>
    <row r="154">
      <c r="H154" s="26" t="n"/>
    </row>
    <row r="155">
      <c r="H155" s="26" t="n"/>
    </row>
    <row r="156">
      <c r="H156" s="26" t="n"/>
    </row>
    <row r="157">
      <c r="H157" s="26" t="n"/>
    </row>
    <row r="158">
      <c r="H158" s="26" t="n"/>
    </row>
    <row r="159">
      <c r="H159" s="26" t="n"/>
    </row>
    <row r="160">
      <c r="H160" s="26" t="n"/>
    </row>
    <row r="161">
      <c r="H161" s="26" t="n"/>
    </row>
    <row r="162">
      <c r="H162" s="26" t="n"/>
    </row>
    <row r="163">
      <c r="H163" s="26" t="n"/>
    </row>
    <row r="164">
      <c r="H164" s="26" t="n"/>
    </row>
    <row r="165">
      <c r="H165" s="26" t="n"/>
    </row>
    <row r="166">
      <c r="H166" s="26" t="n"/>
    </row>
    <row r="167">
      <c r="H167" s="26" t="n"/>
    </row>
    <row r="168">
      <c r="H168" s="26" t="n"/>
    </row>
    <row r="169">
      <c r="H169" s="26" t="n"/>
    </row>
    <row r="170">
      <c r="H170" s="26" t="n"/>
    </row>
    <row r="171">
      <c r="H171" s="26" t="n"/>
    </row>
    <row r="172">
      <c r="H172" s="26" t="n"/>
    </row>
    <row r="173">
      <c r="H173" s="26" t="n"/>
    </row>
    <row r="174">
      <c r="H174" s="26" t="n"/>
    </row>
    <row r="175">
      <c r="H175" s="26" t="n"/>
    </row>
    <row r="176">
      <c r="H176" s="26" t="n"/>
    </row>
    <row r="177">
      <c r="H177" s="26" t="n"/>
    </row>
    <row r="178">
      <c r="H178" s="26" t="n"/>
    </row>
    <row r="179">
      <c r="H179" s="26" t="n"/>
    </row>
    <row r="180">
      <c r="H180" s="26" t="n"/>
    </row>
    <row r="181">
      <c r="H181" s="26" t="n"/>
    </row>
    <row r="182">
      <c r="H182" s="26" t="n"/>
    </row>
    <row r="183">
      <c r="H183" s="26" t="n"/>
    </row>
    <row r="184">
      <c r="H184" s="26" t="n"/>
    </row>
    <row r="185">
      <c r="H185" s="26" t="n"/>
    </row>
    <row r="186">
      <c r="H186" s="26" t="n"/>
    </row>
    <row r="187">
      <c r="H187" s="26" t="n"/>
    </row>
    <row r="188">
      <c r="H188" s="26" t="n"/>
    </row>
    <row r="189">
      <c r="H189" s="26" t="n"/>
    </row>
    <row r="190">
      <c r="H190" s="26" t="n"/>
    </row>
    <row r="191">
      <c r="H191" s="26" t="n"/>
    </row>
    <row r="192">
      <c r="H192" s="26" t="n"/>
    </row>
    <row r="193">
      <c r="H193" s="26" t="n"/>
    </row>
    <row r="194">
      <c r="H194" s="26" t="n"/>
    </row>
    <row r="195">
      <c r="H195" s="26" t="n"/>
    </row>
    <row r="196">
      <c r="H196" s="26" t="n"/>
    </row>
    <row r="197">
      <c r="H197" s="26" t="n"/>
    </row>
    <row r="198">
      <c r="H198" s="26" t="n"/>
    </row>
    <row r="199">
      <c r="H199" s="26" t="n"/>
    </row>
    <row r="200">
      <c r="H200" s="26" t="n"/>
    </row>
    <row r="201">
      <c r="H201" s="26" t="n"/>
    </row>
    <row r="202">
      <c r="H202" s="26" t="n"/>
    </row>
    <row r="203">
      <c r="H203" s="26" t="n"/>
    </row>
    <row r="204">
      <c r="H204" s="26" t="n"/>
    </row>
    <row r="205">
      <c r="H205" s="26" t="n"/>
    </row>
    <row r="206">
      <c r="H206" s="26" t="n"/>
    </row>
    <row r="207">
      <c r="H207" s="26" t="n"/>
    </row>
    <row r="208">
      <c r="H208" s="26" t="n"/>
    </row>
    <row r="209">
      <c r="H209" s="26" t="n"/>
    </row>
    <row r="210">
      <c r="H210" s="26" t="n"/>
    </row>
    <row r="211">
      <c r="H211" s="26" t="n"/>
    </row>
    <row r="212">
      <c r="H212" s="26" t="n"/>
    </row>
    <row r="213">
      <c r="H213" s="26" t="n"/>
    </row>
    <row r="214">
      <c r="H214" s="26" t="n"/>
    </row>
    <row r="215">
      <c r="H215" s="26" t="n"/>
    </row>
    <row r="216">
      <c r="H216" s="26" t="n"/>
    </row>
    <row r="217">
      <c r="H217" s="26" t="n"/>
    </row>
    <row r="218">
      <c r="H218" s="26" t="n"/>
    </row>
    <row r="219">
      <c r="H219" s="26" t="n"/>
    </row>
    <row r="220">
      <c r="H220" s="26" t="n"/>
    </row>
    <row r="221">
      <c r="H221" s="26" t="n"/>
    </row>
    <row r="222">
      <c r="H222" s="26" t="n"/>
    </row>
    <row r="223">
      <c r="H223" s="26" t="n"/>
    </row>
    <row r="224">
      <c r="H224" s="26" t="n"/>
    </row>
    <row r="225">
      <c r="H225" s="26" t="n"/>
    </row>
    <row r="226">
      <c r="H226" s="26" t="n"/>
    </row>
    <row r="227">
      <c r="H227" s="26" t="n"/>
    </row>
    <row r="228">
      <c r="H228" s="26" t="n"/>
    </row>
    <row r="229">
      <c r="H229" s="26" t="n"/>
    </row>
    <row r="230">
      <c r="H230" s="26" t="n"/>
    </row>
    <row r="231">
      <c r="H231" s="26" t="n"/>
    </row>
    <row r="232">
      <c r="H232" s="26" t="n"/>
    </row>
    <row r="233">
      <c r="H233" s="26" t="n"/>
    </row>
    <row r="234">
      <c r="H234" s="26" t="n"/>
    </row>
    <row r="235">
      <c r="H235" s="26" t="n"/>
    </row>
    <row r="236">
      <c r="H236" s="26" t="n"/>
    </row>
    <row r="237">
      <c r="H237" s="26" t="n"/>
    </row>
    <row r="238">
      <c r="H238" s="26" t="n"/>
    </row>
    <row r="239">
      <c r="H239" s="26" t="n"/>
    </row>
    <row r="240">
      <c r="H240" s="26" t="n"/>
    </row>
    <row r="241">
      <c r="H241" s="26" t="n"/>
    </row>
    <row r="242">
      <c r="H242" s="26" t="n"/>
    </row>
    <row r="243">
      <c r="H243" s="26" t="n"/>
    </row>
    <row r="244">
      <c r="H244" s="26" t="n"/>
    </row>
    <row r="245">
      <c r="H245" s="26" t="n"/>
    </row>
    <row r="246">
      <c r="H246" s="26" t="n"/>
    </row>
    <row r="247">
      <c r="H247" s="26" t="n"/>
    </row>
    <row r="248">
      <c r="H248" s="26" t="n"/>
    </row>
    <row r="249">
      <c r="H249" s="26" t="n"/>
    </row>
    <row r="250">
      <c r="H250" s="26" t="n"/>
    </row>
    <row r="251">
      <c r="H251" s="26" t="n"/>
    </row>
    <row r="252">
      <c r="H252" s="26" t="n"/>
    </row>
    <row r="253">
      <c r="H253" s="26" t="n"/>
    </row>
    <row r="254">
      <c r="H254" s="26" t="n"/>
    </row>
    <row r="255">
      <c r="H255" s="26" t="n"/>
    </row>
    <row r="256">
      <c r="H256" s="26" t="n"/>
    </row>
    <row r="257">
      <c r="H257" s="26" t="n"/>
    </row>
    <row r="258">
      <c r="H258" s="26" t="n"/>
    </row>
    <row r="259">
      <c r="H259" s="26" t="n"/>
    </row>
    <row r="260">
      <c r="H260" s="26" t="n"/>
    </row>
    <row r="261">
      <c r="H261" s="26" t="n"/>
    </row>
    <row r="262">
      <c r="H262" s="26" t="n"/>
    </row>
    <row r="263">
      <c r="H263" s="26" t="n"/>
    </row>
    <row r="264">
      <c r="H264" s="26" t="n"/>
    </row>
    <row r="265">
      <c r="H265" s="26" t="n"/>
    </row>
    <row r="266">
      <c r="H266" s="26" t="n"/>
    </row>
    <row r="267">
      <c r="H267" s="26" t="n"/>
    </row>
    <row r="268">
      <c r="H268" s="26" t="n"/>
    </row>
    <row r="269">
      <c r="H269" s="26" t="n"/>
    </row>
    <row r="270">
      <c r="H270" s="26" t="n"/>
    </row>
    <row r="271">
      <c r="H271" s="26" t="n"/>
    </row>
    <row r="272">
      <c r="H272" s="26" t="n"/>
    </row>
    <row r="273">
      <c r="H273" s="26" t="n"/>
    </row>
    <row r="274">
      <c r="H274" s="26" t="n"/>
    </row>
    <row r="275">
      <c r="H275" s="26" t="n"/>
    </row>
    <row r="276">
      <c r="H276" s="26" t="n"/>
    </row>
    <row r="277">
      <c r="H277" s="26" t="n"/>
    </row>
    <row r="278">
      <c r="H278" s="26" t="n"/>
    </row>
    <row r="279">
      <c r="H279" s="26" t="n"/>
    </row>
    <row r="280">
      <c r="H280" s="26" t="n"/>
    </row>
    <row r="281">
      <c r="H281" s="26" t="n"/>
    </row>
    <row r="282">
      <c r="H282" s="26" t="n"/>
    </row>
    <row r="283">
      <c r="H283" s="26" t="n"/>
    </row>
    <row r="284">
      <c r="H284" s="26" t="n"/>
    </row>
    <row r="285">
      <c r="H285" s="26" t="n"/>
    </row>
    <row r="286">
      <c r="H286" s="26" t="n"/>
    </row>
    <row r="287">
      <c r="H287" s="26" t="n"/>
    </row>
    <row r="288">
      <c r="H288" s="26" t="n"/>
    </row>
    <row r="289">
      <c r="H289" s="26" t="n"/>
    </row>
    <row r="290">
      <c r="H290" s="26" t="n"/>
    </row>
    <row r="291">
      <c r="H291" s="26" t="n"/>
    </row>
    <row r="292">
      <c r="H292" s="26" t="n"/>
    </row>
    <row r="293">
      <c r="H293" s="26" t="n"/>
    </row>
    <row r="294">
      <c r="H294" s="26" t="n"/>
    </row>
    <row r="295">
      <c r="H295" s="26" t="n"/>
    </row>
    <row r="296">
      <c r="H296" s="26" t="n"/>
    </row>
    <row r="297">
      <c r="H297" s="26" t="n"/>
    </row>
    <row r="298">
      <c r="H298" s="26" t="n"/>
    </row>
    <row r="299">
      <c r="H299" s="26" t="n"/>
    </row>
    <row r="300">
      <c r="H300" s="26" t="n"/>
    </row>
    <row r="301">
      <c r="H301" s="26" t="n"/>
    </row>
    <row r="302">
      <c r="H302" s="26" t="n"/>
    </row>
    <row r="303">
      <c r="H303" s="26" t="n"/>
    </row>
    <row r="304">
      <c r="H304" s="26" t="n"/>
    </row>
    <row r="305">
      <c r="H305" s="26" t="n"/>
    </row>
    <row r="306">
      <c r="H306" s="26" t="n"/>
    </row>
    <row r="307">
      <c r="H307" s="26" t="n"/>
    </row>
    <row r="308">
      <c r="H308" s="26" t="n"/>
    </row>
    <row r="309">
      <c r="H309" s="26" t="n"/>
    </row>
    <row r="310">
      <c r="H310" s="26" t="n"/>
    </row>
    <row r="311">
      <c r="H311" s="26" t="n"/>
    </row>
    <row r="312">
      <c r="H312" s="26" t="n"/>
    </row>
    <row r="313">
      <c r="H313" s="26" t="n"/>
    </row>
    <row r="314">
      <c r="H314" s="26" t="n"/>
    </row>
    <row r="315">
      <c r="H315" s="26" t="n"/>
    </row>
    <row r="316">
      <c r="H316" s="26" t="n"/>
    </row>
    <row r="317">
      <c r="H317" s="26" t="n"/>
    </row>
    <row r="318">
      <c r="H318" s="26" t="n"/>
    </row>
    <row r="319">
      <c r="H319" s="26" t="n"/>
    </row>
    <row r="320">
      <c r="H320" s="26" t="n"/>
    </row>
    <row r="321">
      <c r="H321" s="26" t="n"/>
    </row>
    <row r="322">
      <c r="H322" s="26" t="n"/>
    </row>
    <row r="323">
      <c r="H323" s="26" t="n"/>
    </row>
    <row r="324">
      <c r="H324" s="26" t="n"/>
    </row>
    <row r="325">
      <c r="H325" s="26" t="n"/>
    </row>
    <row r="326">
      <c r="H326" s="26" t="n"/>
    </row>
    <row r="327">
      <c r="H327" s="26" t="n"/>
    </row>
    <row r="328">
      <c r="H328" s="26" t="n"/>
    </row>
    <row r="329">
      <c r="H329" s="26" t="n"/>
    </row>
    <row r="330">
      <c r="H330" s="26" t="n"/>
    </row>
    <row r="331">
      <c r="H331" s="26" t="n"/>
    </row>
    <row r="332">
      <c r="H332" s="26" t="n"/>
    </row>
    <row r="333">
      <c r="H333" s="26" t="n"/>
    </row>
    <row r="334">
      <c r="H334" s="26" t="n"/>
    </row>
    <row r="335">
      <c r="H335" s="26" t="n"/>
    </row>
    <row r="336">
      <c r="H336" s="26" t="n"/>
    </row>
    <row r="337">
      <c r="H337" s="26" t="n"/>
    </row>
    <row r="338">
      <c r="H338" s="26" t="n"/>
    </row>
    <row r="339">
      <c r="H339" s="26" t="n"/>
    </row>
    <row r="340">
      <c r="H340" s="26" t="n"/>
    </row>
    <row r="341">
      <c r="H341" s="26" t="n"/>
    </row>
    <row r="342">
      <c r="H342" s="26" t="n"/>
    </row>
    <row r="343">
      <c r="H343" s="26" t="n"/>
    </row>
    <row r="344">
      <c r="H344" s="26" t="n"/>
    </row>
    <row r="345">
      <c r="H345" s="26" t="n"/>
    </row>
    <row r="346">
      <c r="H346" s="26" t="n"/>
    </row>
    <row r="347">
      <c r="H347" s="26" t="n"/>
    </row>
    <row r="348">
      <c r="H348" s="26" t="n"/>
    </row>
    <row r="349">
      <c r="H349" s="26" t="n"/>
    </row>
    <row r="350">
      <c r="H350" s="26" t="n"/>
    </row>
    <row r="351">
      <c r="H351" s="26" t="n"/>
    </row>
    <row r="352">
      <c r="H352" s="26" t="n"/>
    </row>
    <row r="353">
      <c r="H353" s="26" t="n"/>
    </row>
    <row r="354">
      <c r="H354" s="26" t="n"/>
    </row>
    <row r="355">
      <c r="H355" s="26" t="n"/>
    </row>
    <row r="356">
      <c r="H356" s="26" t="n"/>
    </row>
    <row r="357">
      <c r="H357" s="26" t="n"/>
    </row>
    <row r="358">
      <c r="H358" s="26" t="n"/>
    </row>
    <row r="359">
      <c r="H359" s="26" t="n"/>
    </row>
    <row r="360">
      <c r="H360" s="26" t="n"/>
    </row>
    <row r="361">
      <c r="H361" s="26" t="n"/>
    </row>
    <row r="362">
      <c r="H362" s="26" t="n"/>
    </row>
    <row r="363">
      <c r="H363" s="26" t="n"/>
    </row>
    <row r="364">
      <c r="H364" s="26" t="n"/>
    </row>
    <row r="365">
      <c r="H365" s="26" t="n"/>
    </row>
    <row r="366">
      <c r="H366" s="26" t="n"/>
    </row>
    <row r="367">
      <c r="H367" s="26" t="n"/>
    </row>
    <row r="368">
      <c r="H368" s="26" t="n"/>
    </row>
    <row r="369">
      <c r="H369" s="26" t="n"/>
    </row>
    <row r="370">
      <c r="H370" s="26" t="n"/>
    </row>
    <row r="371">
      <c r="H371" s="26" t="n"/>
    </row>
    <row r="372">
      <c r="H372" s="26" t="n"/>
    </row>
    <row r="373">
      <c r="H373" s="26" t="n"/>
    </row>
    <row r="374">
      <c r="H374" s="26" t="n"/>
    </row>
    <row r="375">
      <c r="H375" s="26" t="n"/>
    </row>
    <row r="376">
      <c r="H376" s="26" t="n"/>
    </row>
    <row r="377">
      <c r="H377" s="26" t="n"/>
    </row>
    <row r="378">
      <c r="H378" s="26" t="n"/>
    </row>
    <row r="379">
      <c r="H379" s="26" t="n"/>
    </row>
    <row r="380">
      <c r="H380" s="26" t="n"/>
    </row>
    <row r="381">
      <c r="H381" s="26" t="n"/>
    </row>
    <row r="382">
      <c r="H382" s="26" t="n"/>
    </row>
    <row r="383">
      <c r="H383" s="26" t="n"/>
    </row>
    <row r="384">
      <c r="H384" s="26" t="n"/>
    </row>
    <row r="385">
      <c r="H385" s="26" t="n"/>
    </row>
    <row r="386">
      <c r="H386" s="26" t="n"/>
    </row>
    <row r="387">
      <c r="H387" s="26" t="n"/>
    </row>
    <row r="388">
      <c r="H388" s="26" t="n"/>
    </row>
    <row r="389">
      <c r="H389" s="26" t="n"/>
    </row>
    <row r="390">
      <c r="H390" s="26" t="n"/>
    </row>
    <row r="391">
      <c r="H391" s="26" t="n"/>
    </row>
    <row r="392">
      <c r="H392" s="26" t="n"/>
    </row>
    <row r="393">
      <c r="H393" s="26" t="n"/>
    </row>
    <row r="394">
      <c r="H394" s="26" t="n"/>
    </row>
    <row r="395">
      <c r="H395" s="26" t="n"/>
    </row>
    <row r="396">
      <c r="H396" s="26" t="n"/>
    </row>
    <row r="397">
      <c r="H397" s="26" t="n"/>
    </row>
    <row r="398">
      <c r="H398" s="26" t="n"/>
    </row>
    <row r="399">
      <c r="H399" s="26" t="n"/>
    </row>
    <row r="400">
      <c r="H400" s="26" t="n"/>
    </row>
    <row r="401">
      <c r="H401" s="26" t="n"/>
    </row>
    <row r="402">
      <c r="H402" s="26" t="n"/>
    </row>
    <row r="403">
      <c r="H403" s="26" t="n"/>
    </row>
    <row r="404">
      <c r="H404" s="26" t="n"/>
    </row>
    <row r="405">
      <c r="H405" s="26" t="n"/>
    </row>
    <row r="406">
      <c r="H406" s="26" t="n"/>
    </row>
    <row r="407">
      <c r="H407" s="26" t="n"/>
    </row>
    <row r="408">
      <c r="H408" s="26" t="n"/>
    </row>
    <row r="409">
      <c r="H409" s="26" t="n"/>
    </row>
    <row r="410">
      <c r="H410" s="26" t="n"/>
    </row>
    <row r="411">
      <c r="H411" s="26" t="n"/>
    </row>
    <row r="412">
      <c r="H412" s="26" t="n"/>
    </row>
    <row r="413">
      <c r="H413" s="26" t="n"/>
    </row>
    <row r="414">
      <c r="H414" s="26" t="n"/>
    </row>
    <row r="415">
      <c r="H415" s="26" t="n"/>
    </row>
    <row r="416">
      <c r="H416" s="26" t="n"/>
    </row>
    <row r="417">
      <c r="H417" s="26" t="n"/>
    </row>
    <row r="418">
      <c r="H418" s="26" t="n"/>
    </row>
    <row r="419">
      <c r="H419" s="26" t="n"/>
    </row>
    <row r="420">
      <c r="H420" s="26" t="n"/>
    </row>
    <row r="421">
      <c r="H421" s="26" t="n"/>
    </row>
    <row r="422">
      <c r="H422" s="26" t="n"/>
    </row>
    <row r="423">
      <c r="H423" s="26" t="n"/>
    </row>
    <row r="424">
      <c r="H424" s="26" t="n"/>
    </row>
    <row r="425">
      <c r="H425" s="26" t="n"/>
    </row>
    <row r="426">
      <c r="H426" s="26" t="n"/>
    </row>
    <row r="427">
      <c r="H427" s="26" t="n"/>
    </row>
    <row r="428">
      <c r="H428" s="26" t="n"/>
    </row>
    <row r="429">
      <c r="H429" s="26" t="n"/>
    </row>
    <row r="430">
      <c r="H430" s="26" t="n"/>
    </row>
    <row r="431">
      <c r="H431" s="26" t="n"/>
    </row>
    <row r="432">
      <c r="H432" s="26" t="n"/>
    </row>
    <row r="433">
      <c r="H433" s="26" t="n"/>
    </row>
    <row r="434">
      <c r="H434" s="26" t="n"/>
    </row>
    <row r="435">
      <c r="H435" s="26" t="n"/>
    </row>
    <row r="436">
      <c r="H436" s="26" t="n"/>
    </row>
    <row r="437">
      <c r="H437" s="26" t="n"/>
    </row>
    <row r="438">
      <c r="H438" s="26" t="n"/>
    </row>
    <row r="439">
      <c r="H439" s="26" t="n"/>
    </row>
    <row r="440">
      <c r="H440" s="26" t="n"/>
    </row>
    <row r="441">
      <c r="H441" s="26" t="n"/>
    </row>
    <row r="442">
      <c r="H442" s="26" t="n"/>
    </row>
    <row r="443">
      <c r="H443" s="26" t="n"/>
    </row>
    <row r="444">
      <c r="H444" s="26" t="n"/>
    </row>
    <row r="445">
      <c r="H445" s="26" t="n"/>
    </row>
    <row r="446">
      <c r="H446" s="26" t="n"/>
    </row>
    <row r="447">
      <c r="H447" s="26" t="n"/>
    </row>
    <row r="448">
      <c r="H448" s="26" t="n"/>
    </row>
    <row r="449">
      <c r="H449" s="26" t="n"/>
    </row>
    <row r="450">
      <c r="H450" s="26" t="n"/>
    </row>
    <row r="451">
      <c r="H451" s="26" t="n"/>
    </row>
    <row r="452">
      <c r="H452" s="26" t="n"/>
    </row>
    <row r="453">
      <c r="H453" s="26" t="n"/>
    </row>
    <row r="454">
      <c r="H454" s="26" t="n"/>
    </row>
    <row r="455">
      <c r="H455" s="26" t="n"/>
    </row>
    <row r="456">
      <c r="H456" s="26" t="n"/>
    </row>
    <row r="457">
      <c r="H457" s="26" t="n"/>
    </row>
    <row r="458">
      <c r="H458" s="26" t="n"/>
    </row>
    <row r="459">
      <c r="H459" s="26" t="n"/>
    </row>
    <row r="460">
      <c r="H460" s="26" t="n"/>
    </row>
    <row r="461">
      <c r="H461" s="26" t="n"/>
    </row>
    <row r="462">
      <c r="H462" s="26" t="n"/>
    </row>
    <row r="463">
      <c r="H463" s="26" t="n"/>
    </row>
    <row r="464">
      <c r="H464" s="26" t="n"/>
    </row>
    <row r="465">
      <c r="H465" s="26" t="n"/>
    </row>
    <row r="466">
      <c r="H466" s="26" t="n"/>
    </row>
    <row r="467">
      <c r="H467" s="26" t="n"/>
    </row>
    <row r="468">
      <c r="H468" s="26" t="n"/>
    </row>
    <row r="469">
      <c r="H469" s="26" t="n"/>
    </row>
    <row r="470">
      <c r="H470" s="26" t="n"/>
    </row>
    <row r="471">
      <c r="H471" s="26" t="n"/>
    </row>
    <row r="472">
      <c r="H472" s="26" t="n"/>
    </row>
    <row r="473">
      <c r="H473" s="26" t="n"/>
    </row>
    <row r="474">
      <c r="H474" s="26" t="n"/>
    </row>
    <row r="475">
      <c r="H475" s="26" t="n"/>
    </row>
    <row r="476">
      <c r="H476" s="26" t="n"/>
    </row>
    <row r="477">
      <c r="H477" s="26" t="n"/>
    </row>
    <row r="478">
      <c r="H478" s="26" t="n"/>
    </row>
    <row r="479">
      <c r="H479" s="26" t="n"/>
    </row>
    <row r="480">
      <c r="H480" s="26" t="n"/>
    </row>
    <row r="481">
      <c r="H481" s="26" t="n"/>
    </row>
    <row r="482">
      <c r="H482" s="26" t="n"/>
    </row>
    <row r="483">
      <c r="H483" s="26" t="n"/>
    </row>
    <row r="484">
      <c r="H484" s="26" t="n"/>
    </row>
    <row r="485">
      <c r="H485" s="26" t="n"/>
    </row>
    <row r="486">
      <c r="H486" s="26" t="n"/>
    </row>
    <row r="487">
      <c r="H487" s="26" t="n"/>
    </row>
    <row r="488">
      <c r="H488" s="26" t="n"/>
    </row>
    <row r="489">
      <c r="H489" s="26" t="n"/>
    </row>
    <row r="490">
      <c r="H490" s="26" t="n"/>
    </row>
    <row r="491">
      <c r="H491" s="26" t="n"/>
    </row>
    <row r="492">
      <c r="H492" s="26" t="n"/>
    </row>
    <row r="493">
      <c r="H493" s="26" t="n"/>
    </row>
    <row r="494">
      <c r="H494" s="26" t="n"/>
    </row>
    <row r="495">
      <c r="H495" s="26" t="n"/>
    </row>
    <row r="496">
      <c r="H496" s="26" t="n"/>
    </row>
    <row r="497">
      <c r="H497" s="26" t="n"/>
    </row>
    <row r="498">
      <c r="H498" s="26" t="n"/>
    </row>
    <row r="499">
      <c r="H499" s="26" t="n"/>
    </row>
    <row r="500">
      <c r="H500" s="26" t="n"/>
    </row>
    <row r="501">
      <c r="H501" s="26" t="n"/>
    </row>
    <row r="502">
      <c r="H502" s="26" t="n"/>
    </row>
    <row r="503">
      <c r="H503" s="26" t="n"/>
    </row>
    <row r="504">
      <c r="H504" s="26" t="n"/>
    </row>
    <row r="505">
      <c r="H505" s="26" t="n"/>
    </row>
    <row r="506">
      <c r="H506" s="26" t="n"/>
    </row>
    <row r="507">
      <c r="H507" s="26" t="n"/>
    </row>
    <row r="508">
      <c r="H508" s="26" t="n"/>
    </row>
    <row r="509">
      <c r="H509" s="26" t="n"/>
    </row>
    <row r="510">
      <c r="H510" s="26" t="n"/>
    </row>
    <row r="511">
      <c r="H511" s="26" t="n"/>
    </row>
    <row r="512">
      <c r="H512" s="26" t="n"/>
    </row>
    <row r="513">
      <c r="H513" s="26" t="n"/>
    </row>
    <row r="514">
      <c r="H514" s="26" t="n"/>
    </row>
    <row r="515">
      <c r="H515" s="26" t="n"/>
    </row>
    <row r="516">
      <c r="H516" s="26" t="n"/>
    </row>
    <row r="517">
      <c r="H517" s="26" t="n"/>
    </row>
    <row r="518">
      <c r="H518" s="26" t="n"/>
    </row>
    <row r="519">
      <c r="H519" s="26" t="n"/>
    </row>
    <row r="520">
      <c r="H520" s="26" t="n"/>
    </row>
    <row r="521">
      <c r="H521" s="26" t="n"/>
    </row>
    <row r="522">
      <c r="H522" s="26" t="n"/>
    </row>
    <row r="523">
      <c r="H523" s="26" t="n"/>
    </row>
    <row r="524">
      <c r="H524" s="26" t="n"/>
    </row>
    <row r="525">
      <c r="H525" s="26" t="n"/>
    </row>
    <row r="526">
      <c r="H526" s="26" t="n"/>
    </row>
    <row r="527">
      <c r="H527" s="26" t="n"/>
    </row>
    <row r="528">
      <c r="H528" s="26" t="n"/>
    </row>
    <row r="529">
      <c r="H529" s="26" t="n"/>
    </row>
    <row r="530">
      <c r="H530" s="26" t="n"/>
    </row>
    <row r="531">
      <c r="H531" s="26" t="n"/>
    </row>
    <row r="532">
      <c r="H532" s="26" t="n"/>
    </row>
    <row r="533">
      <c r="H533" s="26" t="n"/>
    </row>
    <row r="534">
      <c r="H534" s="26" t="n"/>
    </row>
    <row r="535">
      <c r="H535" s="26" t="n"/>
    </row>
    <row r="536">
      <c r="H536" s="26" t="n"/>
    </row>
    <row r="537">
      <c r="H537" s="26" t="n"/>
    </row>
    <row r="538">
      <c r="H538" s="26" t="n"/>
    </row>
    <row r="539">
      <c r="H539" s="26" t="n"/>
    </row>
    <row r="540">
      <c r="H540" s="26" t="n"/>
    </row>
    <row r="541">
      <c r="H541" s="26" t="n"/>
    </row>
    <row r="542">
      <c r="H542" s="26" t="n"/>
    </row>
    <row r="543">
      <c r="H543" s="26" t="n"/>
    </row>
    <row r="544">
      <c r="H544" s="26" t="n"/>
    </row>
    <row r="545">
      <c r="H545" s="26" t="n"/>
    </row>
    <row r="546">
      <c r="H546" s="26" t="n"/>
    </row>
    <row r="547">
      <c r="H547" s="26" t="n"/>
    </row>
    <row r="548">
      <c r="H548" s="26" t="n"/>
    </row>
    <row r="549">
      <c r="H549" s="26" t="n"/>
    </row>
    <row r="550">
      <c r="H550" s="26" t="n"/>
    </row>
    <row r="551">
      <c r="H551" s="26" t="n"/>
    </row>
    <row r="552">
      <c r="H552" s="26" t="n"/>
    </row>
    <row r="553">
      <c r="H553" s="26" t="n"/>
    </row>
    <row r="554">
      <c r="H554" s="26" t="n"/>
    </row>
    <row r="555">
      <c r="H555" s="26" t="n"/>
    </row>
    <row r="556">
      <c r="H556" s="26" t="n"/>
    </row>
    <row r="557">
      <c r="H557" s="26" t="n"/>
    </row>
    <row r="558">
      <c r="H558" s="26" t="n"/>
    </row>
    <row r="559">
      <c r="H559" s="26" t="n"/>
    </row>
    <row r="560">
      <c r="H560" s="26" t="n"/>
    </row>
    <row r="561">
      <c r="H561" s="26" t="n"/>
    </row>
    <row r="562">
      <c r="H562" s="26" t="n"/>
    </row>
    <row r="563">
      <c r="H563" s="26" t="n"/>
    </row>
    <row r="564">
      <c r="H564" s="26" t="n"/>
    </row>
    <row r="565">
      <c r="H565" s="26" t="n"/>
    </row>
    <row r="566">
      <c r="H566" s="26" t="n"/>
    </row>
    <row r="567">
      <c r="H567" s="26" t="n"/>
    </row>
    <row r="568">
      <c r="H568" s="26" t="n"/>
    </row>
    <row r="569">
      <c r="H569" s="26" t="n"/>
    </row>
    <row r="570">
      <c r="H570" s="26" t="n"/>
    </row>
    <row r="571">
      <c r="H571" s="26" t="n"/>
    </row>
    <row r="572">
      <c r="H572" s="26" t="n"/>
    </row>
    <row r="573">
      <c r="H573" s="26" t="n"/>
    </row>
    <row r="574">
      <c r="H574" s="26" t="n"/>
    </row>
    <row r="575">
      <c r="H575" s="26" t="n"/>
    </row>
    <row r="576">
      <c r="H576" s="26" t="n"/>
    </row>
    <row r="577">
      <c r="H577" s="26" t="n"/>
    </row>
    <row r="578">
      <c r="H578" s="26" t="n"/>
    </row>
    <row r="579">
      <c r="H579" s="26" t="n"/>
    </row>
    <row r="580">
      <c r="H580" s="26" t="n"/>
    </row>
    <row r="581">
      <c r="H581" s="26" t="n"/>
    </row>
    <row r="582">
      <c r="H582" s="26" t="n"/>
    </row>
    <row r="583">
      <c r="H583" s="26" t="n"/>
    </row>
    <row r="584">
      <c r="H584" s="26" t="n"/>
    </row>
    <row r="585">
      <c r="H585" s="26" t="n"/>
    </row>
    <row r="586">
      <c r="H586" s="26" t="n"/>
    </row>
    <row r="587">
      <c r="H587" s="26" t="n"/>
    </row>
    <row r="588">
      <c r="H588" s="26" t="n"/>
    </row>
    <row r="589">
      <c r="H589" s="26" t="n"/>
    </row>
    <row r="590">
      <c r="H590" s="26" t="n"/>
    </row>
    <row r="591">
      <c r="H591" s="26" t="n"/>
    </row>
    <row r="592">
      <c r="H592" s="26" t="n"/>
    </row>
    <row r="593">
      <c r="H593" s="26" t="n"/>
    </row>
    <row r="594">
      <c r="H594" s="26" t="n"/>
    </row>
    <row r="595">
      <c r="H595" s="26" t="n"/>
    </row>
    <row r="596">
      <c r="H596" s="26" t="n"/>
    </row>
    <row r="597">
      <c r="H597" s="26" t="n"/>
    </row>
    <row r="598">
      <c r="H598" s="26" t="n"/>
    </row>
    <row r="599">
      <c r="H599" s="26" t="n"/>
    </row>
    <row r="600">
      <c r="H600" s="26" t="n"/>
    </row>
    <row r="601">
      <c r="H601" s="26" t="n"/>
    </row>
    <row r="602">
      <c r="H602" s="26" t="n"/>
    </row>
    <row r="603">
      <c r="H603" s="26" t="n"/>
    </row>
    <row r="604">
      <c r="H604" s="26" t="n"/>
    </row>
    <row r="605">
      <c r="H605" s="26" t="n"/>
    </row>
    <row r="606">
      <c r="H606" s="26" t="n"/>
    </row>
    <row r="607">
      <c r="H607" s="26" t="n"/>
    </row>
    <row r="608">
      <c r="H608" s="26" t="n"/>
    </row>
    <row r="609">
      <c r="H609" s="26" t="n"/>
    </row>
    <row r="610">
      <c r="H610" s="26" t="n"/>
    </row>
    <row r="611">
      <c r="H611" s="26" t="n"/>
    </row>
    <row r="612">
      <c r="H612" s="26" t="n"/>
    </row>
    <row r="613">
      <c r="H613" s="26" t="n"/>
    </row>
    <row r="614">
      <c r="H614" s="26" t="n"/>
    </row>
    <row r="615">
      <c r="H615" s="26" t="n"/>
    </row>
    <row r="616">
      <c r="H616" s="26" t="n"/>
    </row>
    <row r="617">
      <c r="H617" s="26" t="n"/>
    </row>
    <row r="618">
      <c r="H618" s="26" t="n"/>
    </row>
    <row r="619">
      <c r="H619" s="26" t="n"/>
    </row>
    <row r="620">
      <c r="H620" s="26" t="n"/>
    </row>
    <row r="621">
      <c r="H621" s="26" t="n"/>
    </row>
    <row r="622">
      <c r="H622" s="26" t="n"/>
    </row>
    <row r="623">
      <c r="H623" s="26" t="n"/>
    </row>
    <row r="624">
      <c r="H624" s="26" t="n"/>
    </row>
    <row r="625">
      <c r="H625" s="26" t="n"/>
    </row>
    <row r="626">
      <c r="H626" s="26" t="n"/>
    </row>
    <row r="627">
      <c r="H627" s="26" t="n"/>
    </row>
    <row r="628">
      <c r="H628" s="26" t="n"/>
    </row>
    <row r="629">
      <c r="H629" s="26" t="n"/>
    </row>
    <row r="630">
      <c r="H630" s="26" t="n"/>
    </row>
    <row r="631">
      <c r="H631" s="26" t="n"/>
    </row>
    <row r="632">
      <c r="H632" s="26" t="n"/>
    </row>
    <row r="633">
      <c r="H633" s="26" t="n"/>
    </row>
    <row r="634">
      <c r="H634" s="26" t="n"/>
    </row>
    <row r="635">
      <c r="H635" s="26" t="n"/>
    </row>
    <row r="636">
      <c r="H636" s="26" t="n"/>
    </row>
    <row r="637">
      <c r="H637" s="26" t="n"/>
    </row>
    <row r="638">
      <c r="H638" s="26" t="n"/>
    </row>
    <row r="639">
      <c r="H639" s="26" t="n"/>
    </row>
    <row r="640">
      <c r="H640" s="26" t="n"/>
    </row>
    <row r="641">
      <c r="H641" s="26" t="n"/>
    </row>
    <row r="642">
      <c r="H642" s="26" t="n"/>
    </row>
    <row r="643">
      <c r="H643" s="26" t="n"/>
    </row>
    <row r="644">
      <c r="H644" s="26" t="n"/>
    </row>
    <row r="645">
      <c r="H645" s="26" t="n"/>
    </row>
    <row r="646">
      <c r="H646" s="26" t="n"/>
    </row>
    <row r="647">
      <c r="H647" s="26" t="n"/>
    </row>
    <row r="648">
      <c r="H648" s="26" t="n"/>
    </row>
    <row r="649">
      <c r="H649" s="26" t="n"/>
    </row>
    <row r="650">
      <c r="H650" s="26" t="n"/>
    </row>
    <row r="651">
      <c r="H651" s="26" t="n"/>
    </row>
    <row r="652">
      <c r="H652" s="26" t="n"/>
    </row>
    <row r="653">
      <c r="H653" s="26" t="n"/>
    </row>
    <row r="654">
      <c r="H654" s="26" t="n"/>
    </row>
    <row r="655">
      <c r="H655" s="26" t="n"/>
    </row>
    <row r="656">
      <c r="H656" s="26" t="n"/>
    </row>
    <row r="657">
      <c r="H657" s="26" t="n"/>
    </row>
    <row r="658">
      <c r="H658" s="26" t="n"/>
    </row>
    <row r="659">
      <c r="H659" s="26" t="n"/>
    </row>
    <row r="660">
      <c r="H660" s="26" t="n"/>
    </row>
    <row r="661">
      <c r="H661" s="26" t="n"/>
    </row>
    <row r="662">
      <c r="H662" s="26" t="n"/>
    </row>
    <row r="663">
      <c r="H663" s="26" t="n"/>
    </row>
    <row r="664">
      <c r="H664" s="26" t="n"/>
    </row>
    <row r="665">
      <c r="H665" s="26" t="n"/>
    </row>
    <row r="666">
      <c r="H666" s="26" t="n"/>
    </row>
    <row r="667">
      <c r="H667" s="26" t="n"/>
    </row>
    <row r="668">
      <c r="H668" s="26" t="n"/>
    </row>
    <row r="669">
      <c r="H669" s="26" t="n"/>
    </row>
    <row r="670">
      <c r="H670" s="26" t="n"/>
    </row>
    <row r="671">
      <c r="H671" s="26" t="n"/>
    </row>
    <row r="672">
      <c r="H672" s="26" t="n"/>
    </row>
    <row r="673">
      <c r="H673" s="26" t="n"/>
    </row>
    <row r="674">
      <c r="H674" s="26" t="n"/>
    </row>
    <row r="675">
      <c r="H675" s="26" t="n"/>
    </row>
    <row r="676">
      <c r="H676" s="26" t="n"/>
    </row>
    <row r="677">
      <c r="H677" s="26" t="n"/>
    </row>
    <row r="678">
      <c r="H678" s="26" t="n"/>
    </row>
    <row r="679">
      <c r="H679" s="26" t="n"/>
    </row>
    <row r="680">
      <c r="H680" s="26" t="n"/>
    </row>
    <row r="681">
      <c r="H681" s="26" t="n"/>
    </row>
    <row r="682">
      <c r="H682" s="26" t="n"/>
    </row>
    <row r="683">
      <c r="H683" s="26" t="n"/>
    </row>
    <row r="684">
      <c r="H684" s="26" t="n"/>
    </row>
    <row r="685">
      <c r="H685" s="26" t="n"/>
    </row>
    <row r="686">
      <c r="H686" s="26" t="n"/>
    </row>
    <row r="687">
      <c r="H687" s="26" t="n"/>
    </row>
    <row r="688">
      <c r="H688" s="26" t="n"/>
    </row>
    <row r="689">
      <c r="H689" s="26" t="n"/>
    </row>
    <row r="690">
      <c r="H690" s="26" t="n"/>
    </row>
    <row r="691">
      <c r="H691" s="26" t="n"/>
    </row>
    <row r="692">
      <c r="H692" s="26" t="n"/>
    </row>
    <row r="693">
      <c r="H693" s="26" t="n"/>
    </row>
    <row r="694">
      <c r="H694" s="26" t="n"/>
    </row>
    <row r="695">
      <c r="H695" s="26" t="n"/>
    </row>
    <row r="696">
      <c r="H696" s="26" t="n"/>
    </row>
    <row r="697">
      <c r="H697" s="26" t="n"/>
    </row>
    <row r="698">
      <c r="H698" s="26" t="n"/>
    </row>
    <row r="699">
      <c r="H699" s="26" t="n"/>
    </row>
    <row r="700">
      <c r="H700" s="26" t="n"/>
    </row>
    <row r="701">
      <c r="H701" s="26" t="n"/>
    </row>
    <row r="702">
      <c r="H702" s="26" t="n"/>
    </row>
    <row r="703">
      <c r="H703" s="26" t="n"/>
    </row>
    <row r="704">
      <c r="H704" s="26" t="n"/>
    </row>
    <row r="705">
      <c r="H705" s="26" t="n"/>
    </row>
    <row r="706">
      <c r="H706" s="26" t="n"/>
    </row>
    <row r="707">
      <c r="H707" s="26" t="n"/>
    </row>
    <row r="708">
      <c r="H708" s="26" t="n"/>
    </row>
    <row r="709">
      <c r="H709" s="26" t="n"/>
    </row>
    <row r="710">
      <c r="H710" s="26" t="n"/>
    </row>
    <row r="711">
      <c r="H711" s="26" t="n"/>
    </row>
    <row r="712">
      <c r="H712" s="26" t="n"/>
    </row>
    <row r="713">
      <c r="H713" s="26" t="n"/>
    </row>
    <row r="714">
      <c r="H714" s="26" t="n"/>
    </row>
    <row r="715">
      <c r="H715" s="26" t="n"/>
    </row>
    <row r="716">
      <c r="H716" s="26" t="n"/>
    </row>
    <row r="717">
      <c r="H717" s="26" t="n"/>
    </row>
    <row r="718">
      <c r="H718" s="26" t="n"/>
    </row>
    <row r="719">
      <c r="H719" s="26" t="n"/>
    </row>
    <row r="720">
      <c r="H720" s="26" t="n"/>
    </row>
    <row r="721">
      <c r="H721" s="26" t="n"/>
    </row>
    <row r="722">
      <c r="H722" s="26" t="n"/>
    </row>
    <row r="723">
      <c r="H723" s="26" t="n"/>
    </row>
    <row r="724">
      <c r="H724" s="26" t="n"/>
    </row>
    <row r="725">
      <c r="H725" s="26" t="n"/>
    </row>
    <row r="726">
      <c r="H726" s="26" t="n"/>
    </row>
    <row r="727">
      <c r="H727" s="26" t="n"/>
    </row>
    <row r="728">
      <c r="H728" s="26" t="n"/>
    </row>
    <row r="729">
      <c r="H729" s="26" t="n"/>
    </row>
    <row r="730">
      <c r="H730" s="26" t="n"/>
    </row>
    <row r="731">
      <c r="H731" s="26" t="n"/>
    </row>
    <row r="732">
      <c r="H732" s="26" t="n"/>
    </row>
    <row r="733">
      <c r="H733" s="26" t="n"/>
    </row>
    <row r="734">
      <c r="H734" s="26" t="n"/>
    </row>
    <row r="735">
      <c r="H735" s="26" t="n"/>
    </row>
    <row r="736">
      <c r="H736" s="26" t="n"/>
    </row>
    <row r="737">
      <c r="H737" s="26" t="n"/>
    </row>
    <row r="738">
      <c r="H738" s="26" t="n"/>
    </row>
    <row r="739">
      <c r="H739" s="26" t="n"/>
    </row>
    <row r="740">
      <c r="H740" s="26" t="n"/>
    </row>
    <row r="741">
      <c r="H741" s="26" t="n"/>
    </row>
    <row r="742">
      <c r="H742" s="26" t="n"/>
    </row>
    <row r="743">
      <c r="H743" s="26" t="n"/>
    </row>
    <row r="744">
      <c r="H744" s="26" t="n"/>
    </row>
    <row r="745">
      <c r="H745" s="26" t="n"/>
    </row>
    <row r="746">
      <c r="H746" s="26" t="n"/>
    </row>
    <row r="747">
      <c r="H747" s="26" t="n"/>
    </row>
    <row r="748">
      <c r="H748" s="26" t="n"/>
    </row>
    <row r="749">
      <c r="H749" s="26" t="n"/>
    </row>
    <row r="750">
      <c r="H750" s="26" t="n"/>
    </row>
    <row r="751">
      <c r="H751" s="26" t="n"/>
    </row>
    <row r="752">
      <c r="H752" s="26" t="n"/>
    </row>
    <row r="753">
      <c r="H753" s="26" t="n"/>
    </row>
    <row r="754">
      <c r="H754" s="26" t="n"/>
    </row>
    <row r="755">
      <c r="H755" s="26" t="n"/>
    </row>
    <row r="756">
      <c r="H756" s="26" t="n"/>
    </row>
    <row r="757">
      <c r="H757" s="26" t="n"/>
    </row>
    <row r="758">
      <c r="H758" s="26" t="n"/>
    </row>
    <row r="759">
      <c r="H759" s="26" t="n"/>
    </row>
    <row r="760">
      <c r="H760" s="26" t="n"/>
    </row>
    <row r="761">
      <c r="H761" s="26" t="n"/>
    </row>
    <row r="762">
      <c r="H762" s="26" t="n"/>
    </row>
    <row r="763">
      <c r="H763" s="26" t="n"/>
    </row>
    <row r="764">
      <c r="H764" s="26" t="n"/>
    </row>
    <row r="765">
      <c r="H765" s="26" t="n"/>
    </row>
    <row r="766">
      <c r="H766" s="26" t="n"/>
    </row>
    <row r="767">
      <c r="H767" s="26" t="n"/>
    </row>
    <row r="768">
      <c r="H768" s="26" t="n"/>
    </row>
    <row r="769">
      <c r="H769" s="26" t="n"/>
    </row>
    <row r="770">
      <c r="H770" s="26" t="n"/>
    </row>
    <row r="771">
      <c r="H771" s="26" t="n"/>
    </row>
    <row r="772">
      <c r="H772" s="26" t="n"/>
    </row>
    <row r="773">
      <c r="H773" s="26" t="n"/>
    </row>
    <row r="774">
      <c r="H774" s="26" t="n"/>
    </row>
    <row r="775">
      <c r="H775" s="26" t="n"/>
    </row>
    <row r="776">
      <c r="H776" s="26" t="n"/>
    </row>
    <row r="777">
      <c r="H777" s="26" t="n"/>
    </row>
    <row r="778">
      <c r="H778" s="26" t="n"/>
    </row>
    <row r="779">
      <c r="H779" s="26" t="n"/>
    </row>
    <row r="780">
      <c r="H780" s="26" t="n"/>
    </row>
    <row r="781">
      <c r="H781" s="26" t="n"/>
    </row>
    <row r="782">
      <c r="H782" s="26" t="n"/>
    </row>
    <row r="783">
      <c r="H783" s="26" t="n"/>
    </row>
    <row r="784">
      <c r="H784" s="26" t="n"/>
    </row>
    <row r="785">
      <c r="H785" s="26" t="n"/>
    </row>
    <row r="786">
      <c r="H786" s="26" t="n"/>
    </row>
    <row r="787">
      <c r="H787" s="26" t="n"/>
    </row>
    <row r="788">
      <c r="H788" s="26" t="n"/>
    </row>
    <row r="789">
      <c r="H789" s="26" t="n"/>
    </row>
    <row r="790">
      <c r="H790" s="26" t="n"/>
    </row>
    <row r="791">
      <c r="H791" s="26" t="n"/>
    </row>
    <row r="792">
      <c r="H792" s="26" t="n"/>
    </row>
    <row r="793">
      <c r="H793" s="26" t="n"/>
    </row>
    <row r="794">
      <c r="H794" s="26" t="n"/>
    </row>
    <row r="795">
      <c r="H795" s="26" t="n"/>
    </row>
    <row r="796">
      <c r="H796" s="26" t="n"/>
    </row>
    <row r="797">
      <c r="H797" s="26" t="n"/>
    </row>
    <row r="798">
      <c r="H798" s="26" t="n"/>
    </row>
    <row r="799">
      <c r="H799" s="26" t="n"/>
    </row>
    <row r="800">
      <c r="H800" s="26" t="n"/>
    </row>
    <row r="801">
      <c r="H801" s="26" t="n"/>
    </row>
    <row r="802">
      <c r="H802" s="26" t="n"/>
    </row>
    <row r="803">
      <c r="H803" s="26" t="n"/>
    </row>
    <row r="804">
      <c r="H804" s="26" t="n"/>
    </row>
    <row r="805">
      <c r="H805" s="26" t="n"/>
    </row>
    <row r="806">
      <c r="H806" s="26" t="n"/>
    </row>
    <row r="807">
      <c r="H807" s="26" t="n"/>
    </row>
    <row r="808">
      <c r="H808" s="26" t="n"/>
    </row>
    <row r="809">
      <c r="H809" s="26" t="n"/>
    </row>
    <row r="810">
      <c r="H810" s="26" t="n"/>
    </row>
    <row r="811">
      <c r="H811" s="26" t="n"/>
    </row>
    <row r="812">
      <c r="H812" s="26" t="n"/>
    </row>
    <row r="813">
      <c r="H813" s="26" t="n"/>
    </row>
    <row r="814">
      <c r="H814" s="26" t="n"/>
    </row>
    <row r="815">
      <c r="H815" s="26" t="n"/>
    </row>
    <row r="816">
      <c r="H816" s="26" t="n"/>
    </row>
    <row r="817">
      <c r="H817" s="26" t="n"/>
    </row>
    <row r="818">
      <c r="H818" s="26" t="n"/>
    </row>
    <row r="819">
      <c r="H819" s="26" t="n"/>
    </row>
    <row r="820">
      <c r="H820" s="26" t="n"/>
    </row>
    <row r="821">
      <c r="H821" s="26" t="n"/>
    </row>
    <row r="822">
      <c r="H822" s="26" t="n"/>
    </row>
    <row r="823">
      <c r="H823" s="26" t="n"/>
    </row>
    <row r="824">
      <c r="H824" s="26" t="n"/>
    </row>
    <row r="825">
      <c r="H825" s="26" t="n"/>
    </row>
    <row r="826">
      <c r="H826" s="26" t="n"/>
    </row>
    <row r="827">
      <c r="H827" s="26" t="n"/>
    </row>
    <row r="828">
      <c r="H828" s="26" t="n"/>
    </row>
    <row r="829">
      <c r="H829" s="26" t="n"/>
    </row>
    <row r="830">
      <c r="H830" s="26" t="n"/>
    </row>
    <row r="831">
      <c r="H831" s="26" t="n"/>
    </row>
    <row r="832">
      <c r="H832" s="26" t="n"/>
    </row>
    <row r="833">
      <c r="H833" s="26" t="n"/>
    </row>
    <row r="834">
      <c r="H834" s="26" t="n"/>
    </row>
    <row r="835">
      <c r="H835" s="26" t="n"/>
    </row>
    <row r="836">
      <c r="H836" s="26" t="n"/>
    </row>
    <row r="837">
      <c r="H837" s="26" t="n"/>
    </row>
    <row r="838">
      <c r="H838" s="26" t="n"/>
    </row>
    <row r="839">
      <c r="H839" s="26" t="n"/>
    </row>
    <row r="840">
      <c r="H840" s="26" t="n"/>
    </row>
    <row r="841">
      <c r="H841" s="26" t="n"/>
    </row>
    <row r="842">
      <c r="H842" s="26" t="n"/>
    </row>
    <row r="843">
      <c r="H843" s="26" t="n"/>
    </row>
    <row r="844">
      <c r="H844" s="26" t="n"/>
    </row>
    <row r="845">
      <c r="H845" s="26" t="n"/>
    </row>
    <row r="846">
      <c r="H846" s="26" t="n"/>
    </row>
    <row r="847">
      <c r="H847" s="26" t="n"/>
    </row>
    <row r="848">
      <c r="H848" s="26" t="n"/>
    </row>
    <row r="849">
      <c r="H849" s="26" t="n"/>
    </row>
    <row r="850">
      <c r="H850" s="26" t="n"/>
    </row>
    <row r="851">
      <c r="H851" s="26" t="n"/>
    </row>
    <row r="852">
      <c r="H852" s="26" t="n"/>
    </row>
    <row r="853">
      <c r="H853" s="26" t="n"/>
    </row>
    <row r="854">
      <c r="H854" s="26" t="n"/>
    </row>
    <row r="855">
      <c r="H855" s="26" t="n"/>
    </row>
    <row r="856">
      <c r="H856" s="26" t="n"/>
    </row>
    <row r="857">
      <c r="H857" s="26" t="n"/>
    </row>
    <row r="858">
      <c r="H858" s="26" t="n"/>
    </row>
    <row r="859">
      <c r="H859" s="26" t="n"/>
    </row>
    <row r="860">
      <c r="H860" s="26" t="n"/>
    </row>
    <row r="861">
      <c r="H861" s="26" t="n"/>
    </row>
    <row r="862">
      <c r="H862" s="26" t="n"/>
    </row>
    <row r="863">
      <c r="H863" s="26" t="n"/>
    </row>
    <row r="864">
      <c r="H864" s="26" t="n"/>
    </row>
    <row r="865">
      <c r="H865" s="26" t="n"/>
    </row>
    <row r="866">
      <c r="H866" s="26" t="n"/>
    </row>
    <row r="867">
      <c r="H867" s="26" t="n"/>
    </row>
    <row r="868">
      <c r="H868" s="26" t="n"/>
    </row>
    <row r="869">
      <c r="H869" s="26" t="n"/>
    </row>
    <row r="870">
      <c r="H870" s="26" t="n"/>
    </row>
    <row r="871">
      <c r="H871" s="26" t="n"/>
    </row>
    <row r="872">
      <c r="H872" s="26" t="n"/>
    </row>
    <row r="873">
      <c r="H873" s="26" t="n"/>
    </row>
    <row r="874">
      <c r="H874" s="26" t="n"/>
    </row>
    <row r="875">
      <c r="H875" s="26" t="n"/>
    </row>
    <row r="876">
      <c r="H876" s="26" t="n"/>
    </row>
    <row r="877">
      <c r="H877" s="26" t="n"/>
    </row>
    <row r="878">
      <c r="H878" s="26" t="n"/>
    </row>
    <row r="879">
      <c r="H879" s="26" t="n"/>
    </row>
    <row r="880">
      <c r="H880" s="26" t="n"/>
    </row>
    <row r="881">
      <c r="H881" s="26" t="n"/>
    </row>
    <row r="882">
      <c r="H882" s="26" t="n"/>
    </row>
    <row r="883">
      <c r="H883" s="26" t="n"/>
    </row>
    <row r="884">
      <c r="H884" s="26" t="n"/>
    </row>
    <row r="885">
      <c r="H885" s="26" t="n"/>
    </row>
    <row r="886">
      <c r="H886" s="26" t="n"/>
    </row>
    <row r="887">
      <c r="H887" s="26" t="n"/>
    </row>
    <row r="888">
      <c r="H888" s="26" t="n"/>
    </row>
    <row r="889">
      <c r="H889" s="26" t="n"/>
    </row>
    <row r="890">
      <c r="H890" s="26" t="n"/>
    </row>
    <row r="891">
      <c r="H891" s="26" t="n"/>
    </row>
    <row r="892">
      <c r="H892" s="26" t="n"/>
    </row>
    <row r="893">
      <c r="H893" s="26" t="n"/>
    </row>
    <row r="894">
      <c r="H894" s="26" t="n"/>
    </row>
    <row r="895">
      <c r="H895" s="26" t="n"/>
    </row>
    <row r="896">
      <c r="H896" s="26" t="n"/>
    </row>
    <row r="897">
      <c r="H897" s="26" t="n"/>
    </row>
    <row r="898">
      <c r="H898" s="26" t="n"/>
    </row>
    <row r="899">
      <c r="H899" s="26" t="n"/>
    </row>
    <row r="900">
      <c r="H900" s="26" t="n"/>
    </row>
    <row r="901">
      <c r="H901" s="26" t="n"/>
    </row>
    <row r="902">
      <c r="H902" s="26" t="n"/>
    </row>
    <row r="903">
      <c r="H903" s="26" t="n"/>
    </row>
    <row r="904">
      <c r="H904" s="26" t="n"/>
    </row>
    <row r="905">
      <c r="H905" s="26" t="n"/>
    </row>
    <row r="906">
      <c r="H906" s="26" t="n"/>
    </row>
    <row r="907">
      <c r="H907" s="26" t="n"/>
    </row>
    <row r="908">
      <c r="H908" s="26" t="n"/>
    </row>
    <row r="909">
      <c r="H909" s="26" t="n"/>
    </row>
    <row r="910">
      <c r="H910" s="26" t="n"/>
    </row>
    <row r="911">
      <c r="H911" s="26" t="n"/>
    </row>
    <row r="912">
      <c r="H912" s="26" t="n"/>
    </row>
    <row r="913">
      <c r="H913" s="26" t="n"/>
    </row>
    <row r="914">
      <c r="H914" s="26" t="n"/>
    </row>
    <row r="915">
      <c r="H915" s="26" t="n"/>
    </row>
    <row r="916">
      <c r="H916" s="26" t="n"/>
    </row>
    <row r="917">
      <c r="H917" s="26" t="n"/>
    </row>
    <row r="918">
      <c r="H918" s="26" t="n"/>
    </row>
    <row r="919">
      <c r="H919" s="26" t="n"/>
    </row>
    <row r="920">
      <c r="H920" s="26" t="n"/>
    </row>
    <row r="921">
      <c r="H921" s="26" t="n"/>
    </row>
    <row r="922">
      <c r="H922" s="26" t="n"/>
    </row>
    <row r="923">
      <c r="H923" s="26" t="n"/>
    </row>
    <row r="924">
      <c r="H924" s="26" t="n"/>
    </row>
    <row r="925">
      <c r="H925" s="26" t="n"/>
    </row>
    <row r="926">
      <c r="H926" s="26" t="n"/>
    </row>
    <row r="927">
      <c r="H927" s="26" t="n"/>
    </row>
    <row r="928">
      <c r="H928" s="26" t="n"/>
    </row>
    <row r="929">
      <c r="H929" s="26" t="n"/>
    </row>
    <row r="930">
      <c r="H930" s="26" t="n"/>
    </row>
    <row r="931">
      <c r="H931" s="26" t="n"/>
    </row>
    <row r="932">
      <c r="H932" s="26" t="n"/>
    </row>
    <row r="933">
      <c r="H933" s="26" t="n"/>
    </row>
    <row r="934">
      <c r="H934" s="26" t="n"/>
    </row>
    <row r="935">
      <c r="H935" s="26" t="n"/>
    </row>
    <row r="936">
      <c r="H936" s="26" t="n"/>
    </row>
    <row r="937">
      <c r="H937" s="26" t="n"/>
    </row>
    <row r="938">
      <c r="H938" s="26" t="n"/>
    </row>
    <row r="939">
      <c r="H939" s="26" t="n"/>
    </row>
    <row r="940">
      <c r="H940" s="26" t="n"/>
    </row>
    <row r="941">
      <c r="H941" s="26" t="n"/>
    </row>
    <row r="942">
      <c r="H942" s="26" t="n"/>
    </row>
    <row r="943">
      <c r="H943" s="26" t="n"/>
    </row>
    <row r="944">
      <c r="H944" s="26" t="n"/>
    </row>
    <row r="945">
      <c r="H945" s="26" t="n"/>
    </row>
    <row r="946">
      <c r="H946" s="26" t="n"/>
    </row>
    <row r="947">
      <c r="H947" s="26" t="n"/>
    </row>
    <row r="948">
      <c r="H948" s="26" t="n"/>
    </row>
    <row r="949">
      <c r="H949" s="26" t="n"/>
    </row>
    <row r="950">
      <c r="H950" s="26" t="n"/>
    </row>
    <row r="951">
      <c r="H951" s="26" t="n"/>
    </row>
    <row r="952">
      <c r="H952" s="26" t="n"/>
    </row>
    <row r="953">
      <c r="H953" s="26" t="n"/>
    </row>
    <row r="954">
      <c r="H954" s="26" t="n"/>
    </row>
    <row r="955">
      <c r="H955" s="26" t="n"/>
    </row>
    <row r="956">
      <c r="H956" s="26" t="n"/>
    </row>
    <row r="957">
      <c r="H957" s="26" t="n"/>
    </row>
    <row r="958">
      <c r="H958" s="26" t="n"/>
    </row>
    <row r="959">
      <c r="H959" s="26" t="n"/>
    </row>
    <row r="960">
      <c r="H960" s="26" t="n"/>
    </row>
    <row r="961">
      <c r="H961" s="26" t="n"/>
    </row>
    <row r="962">
      <c r="H962" s="26" t="n"/>
    </row>
    <row r="963">
      <c r="H963" s="26" t="n"/>
    </row>
    <row r="964">
      <c r="H964" s="26" t="n"/>
    </row>
    <row r="965">
      <c r="H965" s="26" t="n"/>
    </row>
    <row r="966">
      <c r="H966" s="26" t="n"/>
    </row>
    <row r="967">
      <c r="H967" s="26" t="n"/>
    </row>
    <row r="968">
      <c r="H968" s="26" t="n"/>
    </row>
    <row r="969">
      <c r="H969" s="26" t="n"/>
    </row>
    <row r="970">
      <c r="H970" s="26" t="n"/>
    </row>
    <row r="971">
      <c r="H971" s="26" t="n"/>
    </row>
    <row r="972">
      <c r="H972" s="26" t="n"/>
    </row>
    <row r="973">
      <c r="H973" s="26" t="n"/>
    </row>
    <row r="974">
      <c r="H974" s="26" t="n"/>
    </row>
    <row r="975">
      <c r="H975" s="26" t="n"/>
    </row>
    <row r="976">
      <c r="H976" s="26" t="n"/>
    </row>
    <row r="977">
      <c r="H977" s="26" t="n"/>
    </row>
  </sheetData>
  <hyperlinks>
    <hyperlink xmlns:r="http://schemas.openxmlformats.org/officeDocument/2006/relationships" ref="C13" r:id="rId1"/>
    <hyperlink xmlns:r="http://schemas.openxmlformats.org/officeDocument/2006/relationships" ref="D13" r:id="rId2"/>
    <hyperlink xmlns:r="http://schemas.openxmlformats.org/officeDocument/2006/relationships" ref="F13" r:id="rId3"/>
    <hyperlink xmlns:r="http://schemas.openxmlformats.org/officeDocument/2006/relationships" ref="C14" r:id="rId4"/>
    <hyperlink xmlns:r="http://schemas.openxmlformats.org/officeDocument/2006/relationships" ref="D14" r:id="rId5"/>
    <hyperlink xmlns:r="http://schemas.openxmlformats.org/officeDocument/2006/relationships" ref="F14" r:id="rId6"/>
    <hyperlink xmlns:r="http://schemas.openxmlformats.org/officeDocument/2006/relationships" ref="G14" r:id="rId7"/>
    <hyperlink xmlns:r="http://schemas.openxmlformats.org/officeDocument/2006/relationships" ref="C15" r:id="rId8"/>
    <hyperlink xmlns:r="http://schemas.openxmlformats.org/officeDocument/2006/relationships" ref="D15" r:id="rId9"/>
    <hyperlink xmlns:r="http://schemas.openxmlformats.org/officeDocument/2006/relationships" ref="F15" r:id="rId10"/>
    <hyperlink xmlns:r="http://schemas.openxmlformats.org/officeDocument/2006/relationships" ref="G15" r:id="rId11"/>
    <hyperlink xmlns:r="http://schemas.openxmlformats.org/officeDocument/2006/relationships" ref="C16" r:id="rId12"/>
    <hyperlink xmlns:r="http://schemas.openxmlformats.org/officeDocument/2006/relationships" ref="F16" r:id="rId13"/>
    <hyperlink xmlns:r="http://schemas.openxmlformats.org/officeDocument/2006/relationships" ref="C17" r:id="rId14"/>
    <hyperlink xmlns:r="http://schemas.openxmlformats.org/officeDocument/2006/relationships" ref="D17" r:id="rId15"/>
    <hyperlink xmlns:r="http://schemas.openxmlformats.org/officeDocument/2006/relationships" ref="F17" r:id="rId16"/>
    <hyperlink xmlns:r="http://schemas.openxmlformats.org/officeDocument/2006/relationships" ref="G17" r:id="rId17"/>
    <hyperlink xmlns:r="http://schemas.openxmlformats.org/officeDocument/2006/relationships" ref="C18" r:id="rId18"/>
    <hyperlink xmlns:r="http://schemas.openxmlformats.org/officeDocument/2006/relationships" ref="D18" r:id="rId19"/>
    <hyperlink xmlns:r="http://schemas.openxmlformats.org/officeDocument/2006/relationships" ref="F18" r:id="rId20"/>
    <hyperlink xmlns:r="http://schemas.openxmlformats.org/officeDocument/2006/relationships" ref="G18" r:id="rId21"/>
    <hyperlink xmlns:r="http://schemas.openxmlformats.org/officeDocument/2006/relationships" ref="C19" r:id="rId22"/>
    <hyperlink xmlns:r="http://schemas.openxmlformats.org/officeDocument/2006/relationships" ref="D19" r:id="rId23"/>
    <hyperlink xmlns:r="http://schemas.openxmlformats.org/officeDocument/2006/relationships" ref="F19" r:id="rId24"/>
    <hyperlink xmlns:r="http://schemas.openxmlformats.org/officeDocument/2006/relationships" ref="G19" r:id="rId25"/>
    <hyperlink xmlns:r="http://schemas.openxmlformats.org/officeDocument/2006/relationships" ref="C20" r:id="rId26"/>
    <hyperlink xmlns:r="http://schemas.openxmlformats.org/officeDocument/2006/relationships" ref="D20" r:id="rId27"/>
    <hyperlink xmlns:r="http://schemas.openxmlformats.org/officeDocument/2006/relationships" ref="F20" r:id="rId28"/>
    <hyperlink xmlns:r="http://schemas.openxmlformats.org/officeDocument/2006/relationships" ref="G20" r:id="rId29"/>
    <hyperlink xmlns:r="http://schemas.openxmlformats.org/officeDocument/2006/relationships" ref="C21" r:id="rId30"/>
    <hyperlink xmlns:r="http://schemas.openxmlformats.org/officeDocument/2006/relationships" ref="D21" r:id="rId31"/>
    <hyperlink xmlns:r="http://schemas.openxmlformats.org/officeDocument/2006/relationships" ref="F21" r:id="rId32"/>
    <hyperlink xmlns:r="http://schemas.openxmlformats.org/officeDocument/2006/relationships" ref="C22" r:id="rId33"/>
    <hyperlink xmlns:r="http://schemas.openxmlformats.org/officeDocument/2006/relationships" ref="D22" r:id="rId34"/>
    <hyperlink xmlns:r="http://schemas.openxmlformats.org/officeDocument/2006/relationships" ref="F22" r:id="rId35"/>
    <hyperlink xmlns:r="http://schemas.openxmlformats.org/officeDocument/2006/relationships" ref="G22" r:id="rId36"/>
  </hyperlink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2026-03-14T11:54:18Z</dcterms:created>
  <dcterms:modified xmlns:dcterms="http://purl.org/dc/terms/" xmlns:xsi="http://www.w3.org/2001/XMLSchema-instance" xsi:type="dcterms:W3CDTF">2026-03-14T11:54:19Z</dcterms:modified>
</cp:coreProperties>
</file>